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D-01\Desktop\CDS\"/>
    </mc:Choice>
  </mc:AlternateContent>
  <bookViews>
    <workbookView xWindow="0" yWindow="0" windowWidth="22395" windowHeight="12015" firstSheet="1" activeTab="1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KPI" sheetId="8" state="hidden" r:id="rId6"/>
    <sheet name="Result" sheetId="1" r:id="rId7"/>
    <sheet name="ป.2" sheetId="9" r:id="rId8"/>
    <sheet name="info" sheetId="3" state="hidden" r:id="rId9"/>
  </sheets>
  <definedNames>
    <definedName name="_xlnm.Print_Area" localSheetId="1">INTRO!$A$1:$I$46</definedName>
    <definedName name="_xlnm.Print_Area" localSheetId="6">Result!$A$1:$G$50</definedName>
    <definedName name="_xlnm.Print_Titles" localSheetId="2">CDS!$3:$3</definedName>
    <definedName name="_xlnm.Print_Titles" localSheetId="4">KPI1.1!$4:$5</definedName>
    <definedName name="_xlnm.Print_Titles" localSheetId="6">Result!$2:$3</definedName>
    <definedName name="_xlnm.Print_Titles" localSheetId="3">TQF!$5:$5</definedName>
    <definedName name="คณะทันตแพทยศาสตร์">info!$A$187:$D$187</definedName>
    <definedName name="คณะแพทยศาสตร์">info!$A$188:$D$188</definedName>
    <definedName name="คณะมนุษยศาสตร์">info!$B$189:$N$189</definedName>
    <definedName name="คณะวิทยาศาสตร์">info!$B$190:$F$190</definedName>
    <definedName name="คณะวิศวกรรมศาสตร์">info!$B$191:$L$191</definedName>
    <definedName name="คณะเศรษฐศาสตร์">info!$B$192:$D$192</definedName>
    <definedName name="วิทยาลัยนานาชาติเพื่อศึกษาความยั่งยืน">info!$B$193:$C$193</definedName>
    <definedName name="สำนักทดสอบทางการศึกษาและจิตวิทยา">info!$B$194</definedName>
  </definedNames>
  <calcPr calcId="162913"/>
</workbook>
</file>

<file path=xl/calcChain.xml><?xml version="1.0" encoding="utf-8"?>
<calcChain xmlns="http://schemas.openxmlformats.org/spreadsheetml/2006/main">
  <c r="C13" i="5" l="1"/>
  <c r="C66" i="5"/>
  <c r="C62" i="5"/>
  <c r="C61" i="5"/>
  <c r="G34" i="2"/>
  <c r="B6" i="1" l="1"/>
  <c r="C30" i="1" l="1"/>
  <c r="D29" i="1"/>
  <c r="C29" i="1"/>
  <c r="B12" i="4"/>
  <c r="B10" i="1" l="1"/>
  <c r="A25" i="2" l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O195" i="3" l="1"/>
  <c r="C86" i="3" l="1"/>
  <c r="E86" i="3" s="1"/>
  <c r="F86" i="3" s="1"/>
  <c r="C19" i="7" l="1"/>
  <c r="C36" i="5" l="1"/>
  <c r="C29" i="5"/>
  <c r="C37" i="5" s="1"/>
  <c r="C21" i="1" s="1"/>
  <c r="C15" i="5"/>
  <c r="E30" i="2" l="1"/>
  <c r="E29" i="2"/>
  <c r="E28" i="2"/>
  <c r="B9" i="1" l="1"/>
  <c r="C47" i="3"/>
  <c r="C21" i="7" l="1"/>
  <c r="A20" i="7"/>
  <c r="C22" i="7" l="1"/>
  <c r="B8" i="4" l="1"/>
  <c r="B21" i="1" l="1"/>
  <c r="G33" i="2" l="1"/>
  <c r="D1" i="9" l="1"/>
  <c r="K1" i="9"/>
  <c r="D11" i="9"/>
  <c r="C14" i="5" l="1"/>
  <c r="E29" i="1"/>
  <c r="H30" i="2" l="1"/>
  <c r="H29" i="2"/>
  <c r="H28" i="2"/>
  <c r="G30" i="2"/>
  <c r="G29" i="2"/>
  <c r="G28" i="2"/>
  <c r="D30" i="2"/>
  <c r="D29" i="2"/>
  <c r="D28" i="2"/>
  <c r="D21" i="1" l="1"/>
  <c r="C8" i="5"/>
  <c r="C56" i="3" l="1"/>
  <c r="C101" i="5" l="1"/>
  <c r="C94" i="5"/>
  <c r="C102" i="5" l="1"/>
  <c r="C31" i="1" s="1"/>
  <c r="F1" i="1"/>
  <c r="B1" i="1"/>
  <c r="F23" i="1" l="1"/>
  <c r="F40" i="1" l="1"/>
  <c r="H10" i="9" l="1"/>
  <c r="F10" i="9"/>
  <c r="G32" i="2"/>
  <c r="C105" i="5" s="1"/>
  <c r="C106" i="5" s="1"/>
  <c r="C94" i="3" l="1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C1" i="4"/>
  <c r="C2" i="7"/>
  <c r="A2" i="7"/>
  <c r="F27" i="1" l="1"/>
  <c r="F25" i="1"/>
  <c r="F24" i="1"/>
  <c r="F37" i="1"/>
  <c r="F36" i="1"/>
  <c r="F35" i="1"/>
  <c r="E9" i="9" s="1"/>
  <c r="F33" i="1"/>
  <c r="H7" i="9" l="1"/>
  <c r="J7" i="9" s="1"/>
  <c r="E7" i="9"/>
  <c r="C50" i="5"/>
  <c r="C57" i="5" l="1"/>
  <c r="G18" i="1" l="1"/>
  <c r="G7" i="1"/>
  <c r="G8" i="1"/>
  <c r="G9" i="1"/>
  <c r="G10" i="1"/>
  <c r="G11" i="1"/>
  <c r="G12" i="1"/>
  <c r="G13" i="1"/>
  <c r="G14" i="1"/>
  <c r="G15" i="1"/>
  <c r="G6" i="1"/>
  <c r="E38" i="1" l="1"/>
  <c r="F38" i="1" s="1"/>
  <c r="F12" i="9" s="1"/>
  <c r="F13" i="9" s="1"/>
  <c r="B17" i="4"/>
  <c r="B9" i="4"/>
  <c r="J10" i="9" l="1"/>
  <c r="H9" i="9"/>
  <c r="J9" i="9" s="1"/>
  <c r="F9" i="9"/>
  <c r="C32" i="1"/>
  <c r="D32" i="1"/>
  <c r="H1" i="3"/>
  <c r="B15" i="1"/>
  <c r="E15" i="1" s="1"/>
  <c r="B13" i="1"/>
  <c r="E13" i="1" s="1"/>
  <c r="B11" i="1"/>
  <c r="E11" i="1" s="1"/>
  <c r="C59" i="3"/>
  <c r="B16" i="4"/>
  <c r="C53" i="3"/>
  <c r="B15" i="4" s="1"/>
  <c r="C50" i="3"/>
  <c r="B14" i="4" s="1"/>
  <c r="B13" i="4"/>
  <c r="B11" i="4"/>
  <c r="B10" i="4"/>
  <c r="C19" i="4" s="1"/>
  <c r="C44" i="3"/>
  <c r="B8" i="1"/>
  <c r="E8" i="1" s="1"/>
  <c r="B7" i="1"/>
  <c r="E7" i="1" s="1"/>
  <c r="E6" i="1"/>
  <c r="A19" i="4" l="1"/>
  <c r="H2" i="3"/>
  <c r="C18" i="4" s="1"/>
  <c r="E32" i="1"/>
  <c r="F32" i="1" s="1"/>
  <c r="E10" i="1"/>
  <c r="B14" i="1"/>
  <c r="E14" i="1" s="1"/>
  <c r="E9" i="1"/>
  <c r="I1" i="3"/>
  <c r="B12" i="1"/>
  <c r="E12" i="1" s="1"/>
  <c r="C20" i="1"/>
  <c r="C58" i="5"/>
  <c r="E21" i="1" s="1"/>
  <c r="F21" i="1" s="1"/>
  <c r="D20" i="1"/>
  <c r="E18" i="1" l="1"/>
  <c r="C5" i="9" s="1"/>
  <c r="E20" i="1"/>
  <c r="F20" i="1" s="1"/>
  <c r="G12" i="9" l="1"/>
  <c r="G13" i="9" s="1"/>
  <c r="G6" i="9"/>
  <c r="H6" i="9"/>
  <c r="J6" i="9" s="1"/>
  <c r="D30" i="1"/>
  <c r="E30" i="1" s="1"/>
  <c r="F30" i="1" s="1"/>
  <c r="D31" i="1"/>
  <c r="C67" i="5"/>
  <c r="C68" i="5" s="1"/>
  <c r="C63" i="5"/>
  <c r="C64" i="5" s="1"/>
  <c r="F29" i="1" l="1"/>
  <c r="E31" i="1"/>
  <c r="F31" i="1" s="1"/>
  <c r="F28" i="1" l="1"/>
  <c r="E8" i="9" l="1"/>
  <c r="H12" i="9"/>
  <c r="J12" i="9" s="1"/>
  <c r="E12" i="9"/>
  <c r="E13" i="9" s="1"/>
  <c r="E41" i="1"/>
  <c r="E42" i="1"/>
  <c r="A41" i="1" s="1"/>
  <c r="H8" i="9"/>
  <c r="J8" i="9" s="1"/>
  <c r="F41" i="1" l="1"/>
  <c r="G41" i="1" s="1"/>
</calcChain>
</file>

<file path=xl/sharedStrings.xml><?xml version="1.0" encoding="utf-8"?>
<sst xmlns="http://schemas.openxmlformats.org/spreadsheetml/2006/main" count="736" uniqueCount="421">
  <si>
    <t>เกณฑ์การประเมิน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</si>
  <si>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</si>
  <si>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</si>
  <si>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</si>
  <si>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</si>
  <si>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</si>
  <si>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</si>
  <si>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</si>
  <si>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</si>
  <si>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</si>
  <si>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</si>
  <si>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</si>
  <si>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</si>
  <si>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</si>
  <si>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</si>
  <si>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</si>
  <si>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อย่างน้อย 1 เรื่องในรอบ 5 ปี</t>
  </si>
  <si>
    <t>ตัวบ่งชี้ 1.1 การบริหารจัดการหลักสูตรตามเกณฑ์มาตรฐานหลักสูตรที่กำหนดโดย สกอ.</t>
  </si>
  <si>
    <t>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</si>
  <si>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</si>
  <si>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</si>
  <si>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</si>
  <si>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</si>
  <si>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</si>
  <si>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</si>
  <si>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</si>
  <si>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</si>
  <si>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</si>
  <si>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</si>
  <si>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</si>
  <si>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</si>
  <si>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</si>
  <si>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</si>
  <si>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</si>
  <si>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</si>
  <si>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</si>
  <si>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</si>
  <si>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</si>
  <si>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</si>
  <si>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</si>
  <si>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</si>
  <si>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</si>
  <si>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</si>
  <si>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</si>
  <si>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</si>
  <si>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</si>
  <si>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</si>
  <si>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</si>
  <si>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</si>
  <si>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</si>
  <si>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</si>
  <si>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</si>
  <si>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</si>
  <si>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</si>
  <si>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</si>
  <si>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</si>
  <si>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</si>
  <si>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</si>
  <si>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</si>
  <si>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</si>
  <si>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</si>
  <si>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</si>
  <si>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</si>
  <si>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</si>
  <si>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</si>
  <si>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</si>
  <si>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</si>
  <si>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อื่นๆ</t>
  </si>
  <si>
    <t>คลิกเลือกระดับหลักสูตร</t>
  </si>
  <si>
    <t>ชื่อหลักสูตร</t>
  </si>
  <si>
    <t>ไม่น้อยกว่า 5 คนและเป็นอาจารย์ประจำเกินกว่า 1 หลักสูตรไม่ได้และประจำหลักสูตรตลอดระยะเวลาที่จัดการศึกษาตามหลักสูตรนั้น</t>
  </si>
  <si>
    <t>1.10</t>
  </si>
  <si>
    <t>ต้องไม่เกิน 5 ปี
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</si>
  <si>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1.11</t>
  </si>
  <si>
    <t>ต้องไม่เกิน 5 ปี 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</si>
  <si>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</si>
  <si>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</si>
  <si>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</si>
  <si>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</si>
  <si>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</si>
  <si>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</si>
  <si>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</si>
  <si>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</si>
  <si>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</si>
  <si>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</si>
  <si>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</si>
  <si>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</si>
  <si>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</si>
  <si>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</si>
  <si>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</si>
  <si>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</si>
  <si>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</si>
  <si>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</si>
  <si>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</si>
  <si>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</si>
  <si>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</si>
  <si>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</si>
  <si>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</si>
  <si>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</si>
  <si>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กลุ่มสาขาวิชา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</si>
  <si>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</si>
  <si>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</si>
  <si>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</si>
  <si>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</si>
  <si>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</si>
  <si>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</si>
  <si>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</si>
  <si>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</si>
  <si>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</si>
  <si>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</si>
  <si>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</si>
  <si>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</si>
  <si>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</si>
  <si>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</si>
  <si>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</si>
  <si>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</si>
  <si>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</si>
  <si>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</si>
  <si>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</si>
  <si>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</si>
  <si>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</si>
  <si>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</si>
  <si>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</si>
  <si>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</si>
  <si>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</si>
  <si>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</si>
  <si>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</si>
  <si>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</si>
  <si>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</si>
  <si>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</si>
  <si>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</si>
  <si>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</si>
  <si>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</si>
  <si>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</si>
  <si>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</si>
  <si>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</si>
  <si>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</si>
  <si>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</si>
  <si>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</si>
  <si>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</si>
  <si>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</si>
  <si>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</si>
  <si>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</si>
  <si>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</si>
  <si>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</si>
  <si>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</si>
  <si>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</si>
  <si>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</si>
  <si>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</si>
  <si>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</si>
  <si>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</si>
  <si>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</si>
  <si>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</si>
  <si>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</si>
  <si>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</si>
  <si>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</si>
  <si>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</si>
  <si>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</si>
  <si>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</si>
  <si>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</si>
  <si>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</si>
  <si>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</si>
  <si>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</si>
  <si>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</si>
  <si>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</si>
  <si>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</si>
  <si>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</si>
  <si>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</si>
  <si>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</si>
  <si>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</si>
  <si>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</si>
  <si>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(เฉพาะแผน ก เท่านั้น)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</si>
  <si>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</si>
  <si>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</si>
  <si>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</si>
  <si>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</si>
  <si>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</si>
  <si>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</si>
  <si>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</si>
  <si>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</si>
  <si>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</si>
  <si>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</si>
  <si>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</si>
  <si>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</si>
  <si>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</si>
  <si>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</si>
  <si>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</si>
  <si>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</si>
  <si>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</si>
  <si>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</si>
  <si>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8"/>
        <color theme="1"/>
        <rFont val="Browallia New"/>
        <family val="2"/>
      </rPr>
      <t>ผ่าน</t>
    </r>
    <r>
      <rPr>
        <sz val="18"/>
        <color theme="1"/>
        <rFont val="Browallia New"/>
        <family val="2"/>
      </rPr>
      <t xml:space="preserve"> หรือ </t>
    </r>
    <r>
      <rPr>
        <b/>
        <sz val="18"/>
        <color theme="1"/>
        <rFont val="Browallia New"/>
        <family val="2"/>
      </rPr>
      <t>ไม่ผ่าน</t>
    </r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</si>
  <si>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</si>
  <si>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</si>
  <si>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</si>
  <si>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</si>
  <si>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</si>
  <si>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</si>
  <si>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</si>
  <si>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</si>
  <si>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</si>
  <si>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</si>
  <si>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</si>
  <si>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</si>
  <si>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</si>
  <si>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</si>
  <si>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</si>
  <si>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</si>
  <si>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</si>
  <si>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</si>
  <si>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</si>
  <si>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</si>
  <si>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</si>
  <si>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</si>
  <si>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</si>
  <si>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</si>
  <si>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</si>
  <si>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</si>
  <si>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</si>
  <si>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</si>
  <si>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</si>
  <si>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</si>
  <si>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</si>
  <si>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</si>
  <si>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</si>
  <si>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</si>
  <si>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</si>
  <si>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</si>
  <si>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</si>
  <si>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</si>
  <si>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</si>
  <si>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</si>
  <si>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</si>
  <si>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</si>
  <si>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</si>
  <si>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</si>
  <si>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</si>
  <si>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</si>
  <si>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</si>
  <si>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</si>
  <si>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</si>
  <si>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</si>
  <si>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</si>
  <si>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</si>
  <si>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</si>
  <si>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</si>
  <si>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</si>
  <si>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</si>
  <si>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</si>
  <si>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</si>
  <si>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</si>
  <si>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</si>
  <si>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</si>
  <si>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</si>
  <si>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</si>
  <si>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</si>
  <si>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</si>
  <si>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</si>
  <si>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</si>
  <si>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</si>
  <si>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</si>
  <si>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</si>
  <si>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</si>
  <si>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</si>
  <si>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</si>
  <si>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</si>
  <si>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</si>
  <si>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</si>
  <si>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</si>
  <si>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</si>
  <si>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</si>
  <si>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</si>
  <si>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</si>
  <si>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</si>
  <si>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</si>
  <si>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</si>
  <si>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</si>
  <si>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</si>
  <si>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</si>
  <si>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</si>
  <si>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</si>
  <si>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</si>
  <si>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</si>
  <si>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</si>
  <si>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</si>
  <si>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</si>
  <si>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</si>
  <si>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</si>
  <si>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</si>
  <si>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</si>
  <si>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</si>
  <si>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</si>
  <si>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</si>
  <si>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</si>
  <si>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</si>
  <si>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</si>
  <si>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</si>
  <si>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</si>
  <si>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</si>
  <si>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</si>
  <si>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</si>
  <si>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>1. จำนวนอาจารย์ผู้รับผิดชอบหลักสูตร</t>
  </si>
  <si>
    <t>2. คุณสมบัติของอาจารย์ผู้รับผิดชอบหลักสูตร</t>
  </si>
  <si>
    <t xml:space="preserve">    ประเด็นที่ 4.2.1 ร้อยละของอาจารย์ผู้รับผิดชอบหลักสูตรที่มีคุณวุฒิปริญญาเอก</t>
  </si>
  <si>
    <t xml:space="preserve">     ตัวบ่งชี้ที่ 4.2.2 ร้อยละของอาจารย์ผู้รับผิดชอบหลักสูตรที่ดำรงตำแหน่งทางวิชาการ</t>
  </si>
  <si>
    <t xml:space="preserve">     ตัวบ่งชี้ที่ 4.2.3 ผลงานวิชาการของผู้รับผิดชอบหลักสูตร</t>
  </si>
  <si>
    <t xml:space="preserve">     ตัวบ่งชี้ที่ 4.2.4 จำนวนบทความของอาจารย์ผู้รับผิดชอหลักสูตรปริญญาเอกที่ได้รับการอ้างอิงในวารสารระดับชาติหรือนานาชาติต่อจำนวนอาจารย์ผู้รับผิดชอบหลักสูตร (เฉพาะหลักสูตรปริญญาเอก)</t>
  </si>
  <si>
    <t>เกณฑ์มาตรฐานหลักสูตร พ.ศ.2558</t>
  </si>
  <si>
    <t>ตัวบ่งชี้ที่ 4.2.1 ร้อยละของอาจารย์ผู้รับผิดชอบหลักสูตรที่มีคุณวุฒิปริญญาเอก</t>
  </si>
  <si>
    <t>จำนวนอาจารย์ผู้รับผิดชอบหลักสูตรที่มีวุฒิปริญญาเอก</t>
  </si>
  <si>
    <t>จำนวนอาจารย์ผู้รับผิดชอบหลักสูตรทั้งหมด</t>
  </si>
  <si>
    <t>ร้อยละของอาจารย์ผู้รับผิดชอบหลักสูตรที่มีคุณวุฒิปริญญาเอก</t>
  </si>
  <si>
    <t>ค่าร้อยละของอาจารย์ผู้รับผิดชอบหลักสูตรที่มีคุณวุฒิปริญญาเอกเทียบ คะแนนเต็ม 5 คะแนน</t>
  </si>
  <si>
    <t>จำนวนอาจารย์ผู้รับผิดชอบหลักสูตรที่ดำรงตำแหน่งทางวิชาการ</t>
  </si>
  <si>
    <t>ร้อยละของอาจารย์ผู้รับผิดชอบหลักสูตรที่ดำรงตำแหน่งทางวิชาการ</t>
  </si>
  <si>
    <t>ค่าร้อยละของอาจารย์ผู้รับผิดชอบหลักสูตรที่ดำรงตำแหน่งทางวิชาการ คะแนนเต็ม 5 คะแนน</t>
  </si>
  <si>
    <t>รายชื่ออาจารย์ผู้รับผิดชอบหลักสูตร</t>
  </si>
  <si>
    <t xml:space="preserve">ตัวบ่งชี้ที่ 4.2.2 ร้อยละของอาจารย์ผู้รับผิดชอบหลักสูตรที่ดำรงตำแหน่งทางวิชาการ </t>
  </si>
  <si>
    <t>1. จำนวนอาจารย์รับผิดชอบหลักสูตร</t>
  </si>
  <si>
    <t>2. คุณสมบัติของอาจารย์รับผิดชอบหลักสูตร</t>
  </si>
  <si>
    <t>4.2.4 จำนวนบทความของอาจารย์ผู้รับผิดชอบหลักสูตรปริญญาเอกที่ได้รับการอ้างอิงในวารสารระดับชาติหรือนานาชาติต่อจำนวนอาจารย์ผู้รับผิดชอบหลักสูตร</t>
  </si>
  <si>
    <t>จำนวนบทความของอาจารย์ผู้รับผิดชอบหลักสูตรปริญญาเอกที่ได้รับการอ้างอิงในวารสารระดับชาติหรือนานาชาติ</t>
  </si>
  <si>
    <t>จำนวนอาจารย์ผู้รับผิดชอบหลักสูตร</t>
  </si>
  <si>
    <t>จำนวนบทความที่ได้รับการอ้างอิงต่ออาจารย์ผู้รับผิดชอบหลักสูตร</t>
  </si>
  <si>
    <t>องค์ประกอบที่ 4  อาจารย์ผู้รับผิดชอบหลักสูตร</t>
  </si>
  <si>
    <t>update 26122018</t>
  </si>
  <si>
    <t xml:space="preserve">คณะเภสัชศาสตร์ </t>
  </si>
  <si>
    <t>คณะเศรษฐศาสตร์</t>
  </si>
  <si>
    <t>คณะกายภาพบำบัด</t>
  </si>
  <si>
    <t>คณะบริหารธุรกิจเพื่อสังคม</t>
  </si>
  <si>
    <t xml:space="preserve">คณะพยาบาลศาสตร์ </t>
  </si>
  <si>
    <t>คณะมนุษยศาสตร์</t>
  </si>
  <si>
    <t>คณะวิทยาศาสตร์</t>
  </si>
  <si>
    <t>วิทยาลัยอุตสาหกรรมสร้างสรรค์</t>
  </si>
  <si>
    <t xml:space="preserve"> - อาจารย์ที่เป็นอาจารย์ผู้รับผิดชอบหลักสูตรทั้งหมด</t>
  </si>
  <si>
    <r>
      <t>3. กรอกข้อมูลเบื้องต้นของหลักสูตร และข้อมูลอาจารย์ผู้รับผิดชอบหลักสูตร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</si>
  <si>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t>10. การปรับปรุงหลักสูตรตามรอบระยะเวลาที่กำหนด</t>
  </si>
  <si>
    <t>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 ไม่จำกัดจำนวนและประจำได้มากกว่าหนึ่งหลักสูตร</t>
  </si>
  <si>
    <t>จำนวนบทความวิจัยที่ตีพิมพ์ในวารสารวิชาการที่ปรากฏในฐานข้อมูล TCI กลุ่มที่ 2 (0.60)</t>
  </si>
  <si>
    <t>จำนวนบทความวิจัยที่ตีพิมพ์ในวารสารวิชาการที่ปรากฏในฐานข้อมูล TCI กลุ่มที่ 1 (0.80)</t>
  </si>
  <si>
    <t>3. คุณสมบัติของอาจารย์ประจำหลักสูตร</t>
  </si>
  <si>
    <t>อาจารย์ผู้รับผิดชอบหลักสูตรมีส่วนร่วมในการประชุมเพื่อวางแผน และทบทวนการดำเนินงานของหลักสูตร</t>
  </si>
  <si>
    <t>มีรายละเอียดของหลักสูตร ตามแบบ มคอ.2 ที่สอดคล้องกับกรอบมาตรฐานคุณวุฒิระดับอุดมศึกษาแห่งชาติ หรือ มาตรฐานคุณวุฒิสาขา/สาขาวิชา (ถ้ามี)</t>
  </si>
  <si>
    <t xml:space="preserve">มีรายละเอียดของรายวิชา และรายละเอียดของประสบการณ์ภาคสนาม (ถ้ามี) ตามแบบ มคอ.3 
และ มคอ.4 อย่างน้อยก่อนการเปิดสอนในแต่ละภาคการศึกษาให้ครบทุกรายวิชา
</t>
  </si>
  <si>
    <t>จัดทำรายงานผลการดำเนินการของหลักสูตร ตามแบบ มคอ. 7 ภายใน 60 วัน หลังปีการศึกษา</t>
  </si>
  <si>
    <t xml:space="preserve">มีการพัฒนา/ปรับปรุงการจัดการเรียนการสอน กลยุทธ์การสอน หรือการประเมินผลการเรียนรู้จากผลการประเมินการดำเนินงานที่รายงานใน มคอ.7 ปีที่แล้ว
</t>
  </si>
  <si>
    <t>อาจารย์ประจำทุกคนได้รับการพัฒนาทางวิชาการ และ/หรือวิชาชีพอย่างน้อยปีละ 1 ครั้ง</t>
  </si>
  <si>
    <t>จำนวนบุคลากรสนับสนุนการเรียนการสอน (ถ้ามี) ได้รับการพัฒนาทางวิชาการ และ/หรือวิชาชีพ</t>
  </si>
  <si>
    <t>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 มีผลงานทางวิชาการอย่างน้อย 1 รายการในรอบ 5 ปีย้อนหลัง  ไม่จำกัดจำนวนและประจำได้มากกว่าหนึ่งหลักสูตร</t>
  </si>
  <si>
    <t>ไม่น้อยกว่า 3 คน  และ เป็นอาจารย์ผู้รับผิดชอบเกินกว่า 1 หลักสูตรไม่ได้ และประจำหลักสูตรตลอดระยะเวลาที่จัดการศึกษาตามหลักสูตรนั้น</t>
  </si>
  <si>
    <t>คุณวุฒิระดับปริญญาเอกหรือเทียบเท่า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</si>
  <si>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คุณวุฒิขั้นต่ำปริญญาเอกหรือเทียบเท่า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</si>
  <si>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r>
      <rPr>
        <b/>
        <u/>
        <sz val="11"/>
        <color rgb="FFFF0000"/>
        <rFont val="Tahoma"/>
        <family val="2"/>
        <scheme val="minor"/>
      </rPr>
      <t>1.อาจารย์ประจำ</t>
    </r>
    <r>
      <rPr>
        <b/>
        <sz val="11"/>
        <color rgb="FFFF0000"/>
        <rFont val="Tahoma"/>
        <family val="2"/>
        <scheme val="minor"/>
      </rPr>
      <t xml:space="preserve"> 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ในสาขาวิชานั้น หรือสาขาวิชาที่สัมพันธ์กัน หรือสาขาวิชาของรายวิชาที่สอน หากเป็นผู้สอนก่อนเกณฑ์นี้ประกาศใช้ อนุโลมคุณวุฒิระดับปริญญาตรีได้ 2.</t>
    </r>
    <r>
      <rPr>
        <b/>
        <u/>
        <sz val="11"/>
        <color rgb="FFFF0000"/>
        <rFont val="Tahoma"/>
        <family val="2"/>
        <scheme val="minor"/>
      </rPr>
      <t>อาจารย์พิเศษ</t>
    </r>
    <r>
      <rPr>
        <b/>
        <sz val="11"/>
        <color rgb="FFFF0000"/>
        <rFont val="Tahoma"/>
        <family val="2"/>
        <scheme val="minor"/>
      </rPr>
      <t xml:space="preserve"> มีคุณวุฒิระดับปริญญาโท หรือคุณวุฒิปริญญาตรีหรือเทียบเท่า และมีประสบการณ์ทำงานที่เกี่ยวข้องกับวิชาที่สอนไม่น้อยกว่า 6 ปี ทั้งนี้ มีชั่วโมงสอนไม่เกินร้อยละ 50 ของรายวิชา โดยมีอาจารย์ประจำเป็นผู้รับผิดชอบรายวิชานั้น</t>
    </r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</si>
  <si>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</si>
  <si>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r>
      <t>1. อาจารย์ประจำ</t>
    </r>
    <r>
      <rPr>
        <sz val="14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มีผลงานทางวิชาการอย่างน้อย 3 รายการในรอบ 5 ปีย้อนหลัง โดยอย่างน้อย 1 รายการต้องเป็นผลงานวิจัย 2. 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มีผลงานทางวิชาการที่ได้รับการตีพิมพ์เผยแพร่ในระดับชาติ ระดับชาติ ซึ่งตรงหรือสัมพันธ์กับหัวข้อวิทยานิพนธ์ ไม่น้อยกว่า 10 เรื่อง 
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โดยผ่านความเห็นชอบของสภาสถาบันและแจ้ง กกอ. ทราบ</t>
    </r>
  </si>
  <si>
    <t xml:space="preserve">1. อาจารย์ประจำ 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
มีผลงานทางวิชาการอย่างน้อย 3 รายการในรอบ 5 ปีย้อนหลัง โดยอย่างน้อย 1 รายการต้องเป็นผลงานวิจัย 2. ผู้ทรงคุณวุฒิภายนอก มีคุณวุฒิระดับปริญญาเอกหรือเทียบเท่า 
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 ไม่น้อยกว่า 5 เรื่อง 
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
</t>
  </si>
  <si>
    <t xml:space="preserve">1. อาจารย์ผู้สอบวิทยานิพนธ์ ประกอบด้วย อาจารย์ประจำหลักสูตรและผู้ทรงคุณวุฒิจากภายนอกไม่น้อยกว่า 3 คน ประธานผู้สอบวิทยานิพนธ์ต้องไม่เป็นที่ปรึกษาวิทยานิพนธ์หลักหรือที่ปรึกษาวิทยานิพนธ์ร่วม 2. อาจารย์ประจำหลักสูตร 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
มีผลงานทางวิชาการอย่างน้อย 3 รายการในรอบ 5 ปีย้อนหลัง โดยอย่างน้อย 1 รายการต้องเป็นผลงานวิจัย 3. ผู้ทรงคุณวุฒิภายนอก คุณวุฒิระดับปริญญาเอกหรือเทียบเท่า
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ซึ่งตรงหรือสัมพันธ์กับหัวข้อวิทยานิพนธ์หรือการค้นคว้าอิสระไม่น้อยกว่า 10 เรื่อง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
 </t>
  </si>
  <si>
    <t xml:space="preserve">1. อาจารย์ผู้สอบวิทยานิพนธ์ ประกอบด้วย อาจารย์ประจำหลักสูตรและผู้ทรงคุณวุฒิจากภายนอกไม่น้อยกว่า 5 คน ประธานผู้สอบวิทยานิพนธ์ต้องเป็นผู้ทรงคุณวุฒิจากภายนอก 2. อาจารย์ประจำหลักสูตร มีคุณวุฒิระดับปริญญาเอกหรือเทียบเท่า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มีผลงานทางวิชาการอย่างน้อย 3 รายการในรอบ 5 ปีย้อนหลัง โดยอย่างน้อย 1 รายการต้องเป็นผลงานวิจัย 3. ผู้ทรงคุณวุฒิภายนอก คุณวุฒิระดับปริญญาเอกหรือเทียบเท่า 
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ซึ่งตรงหรือสัมพันธ์กับหัวข้อวิทยานิพนธ์หรือการค้นคว้าอิสระไม่น้อยกว่า 5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
 </t>
  </si>
  <si>
    <t xml:space="preserve">แบบ 1ต้องได้รับการยอมรับให้ตีพิมพ์ในวารสารระดับชาติหรือนานาชาติที่มีคุณภาพตามประกาศของ กกอ. อย่างน้อย 2 เรื่อง 
แบบ 2 ต้องได้รับการยอมรับให้ตีพิมพ์ในวารสารระดับชาติหรือนานาชาติที่มีคุณภาพตามประกาศของ กกอ.
</t>
  </si>
  <si>
    <t xml:space="preserve">แผน ก1 ต้องได้รับการยอมรับให้ตีพิมพ์ในวารสารระดับชาติหรือนานาชาติที่มีคุณภาพตามประกาศของ กกอ.  
แผน ก2 ต้องได้รับการยอมรับให้ตีพิมพ์ในวารสารระดับชาติหรือนานาชาติที่มีคุณภาพตามประกาศของ กกอ. หรือนำเสนอต่อที่ประชุมวิชาการโดยบทความที่นำเสนอได้รับการตีพิมพ์ในรายงานสืบเนื่องจากการประชุมทางวิชาการ (Proceeding) 
แผน ข รายงานการค้นคว้าหรือส่วนหนึ่งของการค้นคว้าอิสระต้องได้รับการเผยแพร่ในลักษณะใดลักษณะหนึ่งที่สืบค้นได้
</t>
  </si>
  <si>
    <t xml:space="preserve">วิทยานิพนธ์ 
อาจารย์คุณวุฒิปริญญาเอก 1 คนต่อนักศึกษา 5 คน 
การค้นคว้าอิสระ 
อาจารย์คุณวุฒิปริญญาเอก 1 คนต่อนักศึกษา 15 คน 
หากอาจารย์คุณวุฒิปริญญาเอก และมีตำแหน่งทางวิชาการ หรือปริญญาโทและมีตำแหน่งทางวิชาการระดับรองศาสตราจารย์ขึ้นไป 1 คนต่อนักศึกษา 10 คน 
หากเป็นที่ปรึกษาทั้ง 2 ประเภทให้เทียบสัดส่วนนักศึกษาที่ทำวิทยานิพนธ์ 1 คนเทียบเท่ากับนักศึกษาที่ค้นคว้าอิสระ 3 คน
</t>
  </si>
  <si>
    <t xml:space="preserve">คุณวุฒิระดับปริญญาเอกหรือเทียบเท่า หรือขั้นต่ำปริญญาโทหรือเทียบเท่าที่มีตำแหน่งศาสตราจารย์ขึ้นไป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 </t>
  </si>
  <si>
    <t xml:space="preserve">คุณวุฒิขั้นต่ำกว่าปริญญาโทหรือเทียบเท่า มีผลงานทางวิชาการอย่างน้อย 3 รายการในรอบ 5 ปีย้อนหลัง โดยอย่างน้อย 1 รายการในรอบ 5 ปีย้อนหลัง โดยอย่างน้อย 1 รายการต้องเป็นผลงานวิจัย </t>
  </si>
  <si>
    <t>1. อาจารย์ประจำ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ต้องมีประสบการณ์ด้านการสอน และมีผลงานทางวิชาการอย่างน้อย 1 รายการในรอบ 5 ปีย้อนหลัง 
2. อาจารย์พิเศษ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มีประสบการณ์ทำงานที่เกี่ยวข้องกับวิชาที่สอน และมีผลงานทางวิชาการอย่างน้อย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</si>
  <si>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1. อาจารย์ประจำ มีคุณวุฒิปริญญาเอกหรือเทียบเท่า หรือขั้นต่ำปริญญาโทหรือเทียบเท่าที่มีตำแหน่งรองศาสตราจารย์ในสาขาวิชานั้นหรือสาขาวิชาที่สัมพันธ์กัน หรือสาขาวิชาของรายวิชาที่สอน ต้องมีประสบการณ์ด้านการสอน และมีผลงานทางวิชาการอย่างน้อย 1 รายการในรอบ 5 ปีย้อนหลัง 
2. อาจารย์พิเศษ มีคุณวุฒิปริญญาเอกหรือเทียบเท่า หรือขั้นต่ำปริญญาโทหรือเทียบเท่า มีประสบการณ์ทำงานที่เกี่ยวข้องกับวิชาที่สอน และผลงานทางวิชาการอย่างน้อย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</si>
  <si>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ตัวบ่งชี้ที่ 4.2.3 ผลงานวิชาการของอาจารย์ผู้รับผิดชอบหลักสูตร</t>
  </si>
  <si>
    <t>บทความวิจัยที่ตีพิมพ์ในวารสารวิชาการที่ปรากฏในฐานข้อมูล TCI กลุ่มที่ 2 (0.60)</t>
  </si>
  <si>
    <t>บทความวิจัยที่ตีพิมพ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</si>
  <si>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หลักสูตรสาธารณสุขศาสตรบัณฑิต สาขาวิชาทันตสาธารณสุข</t>
  </si>
  <si>
    <t>หลักสูตรวิทยาศาสตรมหาบัณฑิต สาขาวิชาทันตกรรมคลินิก</t>
  </si>
  <si>
    <t>หลักสูตรวิทยาศาสตรมหาบัณฑิต สาขาวิชาทันตกรรมทั่วไปขั้นสูง</t>
  </si>
  <si>
    <t>หลักสูตรปรัชญาดุษฎีบัณฑิต สาขาวิชาชีวภาพการแพทย์ (หลักสูตรนานาชาติ)</t>
  </si>
  <si>
    <t>หลักสูตรปรัชญาดุษฎีบัณฑิต สาขาวิชาชีววิทยาของเซลล์และโมเลกุล (หลักสูตรนานาชาติ)</t>
  </si>
  <si>
    <t>หลักสูตรการศึกษาบัณฑิต สาขาวิชาภาษาไทย</t>
  </si>
  <si>
    <t>หลักสูตรการศึกษาบัณฑิต สาขาวิชาภาษาอังกฤษ</t>
  </si>
  <si>
    <t>หลักสูตรวิทยาศาสตรบัณฑิต สาขาวิชาจิตวิทยา</t>
  </si>
  <si>
    <t>หลักสูตรศิลปศาสตรบัณฑิต สาขาวิชาปรัชญาและศาสนา</t>
  </si>
  <si>
    <t>หลักสูตรศิลปศาสตรบัณฑิต สาขาวิชาภาษาตะวันออก</t>
  </si>
  <si>
    <t>หลักสูตรศิลปศาสตรบัณฑิต สาขาวิชาภาษาไทย</t>
  </si>
  <si>
    <t>หลักสูตรศิลปศาสตรบัณฑิต สาขาวิชาภาษาอังกฤษ</t>
  </si>
  <si>
    <t>หลักสูตรศิลปศาสตรมหาบัณฑิต สาขาวิชาจิตวิทยาพัฒนาการ</t>
  </si>
  <si>
    <t>หลักสูตรศิลปศาสตรมหาบัณฑิต สาขาวิชาภาษาไทย</t>
  </si>
  <si>
    <t>หลักสูตรศิลปศาสตรมหาบัณฑิต สาขาวิชาภาษาศาสตร์</t>
  </si>
  <si>
    <t>หลักสูตรศิลปศาสตรมหาบัณฑิต สาขาวิชาสารสนเทศศึกษา</t>
  </si>
  <si>
    <t>หลักสูตรศิลปศาสตรดุษฎีบัณฑิต สาขาวิชาภาษาไทย</t>
  </si>
  <si>
    <t>หลักสูตรศิลปศาสตรดุษฎีบัณฑิต สาขาวิชาภาษาอังกฤษ</t>
  </si>
  <si>
    <t>หลักสูตรการศึกษาบัณฑิต สาขาวิชาฟิสิกส์</t>
  </si>
  <si>
    <t>หลักสูตรวิทยาศาสตรบัณฑิต สาขาวิชาฟิสิกส์</t>
  </si>
  <si>
    <t>หลักสูตรวิทยาศาสตรบัณฑิต สาขาวิชาวัสดุศาสตร์</t>
  </si>
  <si>
    <t>หลักสูตรวิทยาศาสตรมหาบัณฑิต สาขาวิชาวัสดุศาสตร์</t>
  </si>
  <si>
    <t>หลักสูตรปรัชญาดุษฎีบัณฑิต สาขาวิชาคณิตศาสตร์</t>
  </si>
  <si>
    <t>หลักสูตรวิศวกรรมศาสตรบัณฑิต สาขาวิชาวิศกวรรมไฟฟ้า</t>
  </si>
  <si>
    <t>หลักสูตรวิศวกรรมศาสตรบัณฑิต สาขาวิชาวิศวกรรมเครื่องกล</t>
  </si>
  <si>
    <t>หลักสูตรวิศวกรรมศาสตรบัณฑิต สาขาวิชาวิศวกรรมเคมี</t>
  </si>
  <si>
    <t>หลักสูตรวิศวกรรมศาสตรบัณฑิต สาขาวิชาวิศวกรรมโยธา</t>
  </si>
  <si>
    <t>หลักสูตรวิศวกรรมศาสตรบัณฑิต สาขาวิชาวิศวกรรมสิ่งแวดล้อม</t>
  </si>
  <si>
    <t>หลักสูตรวิศวกรรมศาสตรบัณฑิต สาขาวิชาวิศวกรรมอุตสาหการ</t>
  </si>
  <si>
    <t>หลักสูตรวิศวกรรมศาสตรบัณฑิต สาขาวิชาวิศวกรรมคอมพิวเตอร์</t>
  </si>
  <si>
    <t>หลักสูตรวิศวกรรมศาสตรบัณฑิต สาขาวิชาวิศวกรรมโลจิสติกส์ (หลักสูตร 2 ภาษา)</t>
  </si>
  <si>
    <t>หลักสูตรวิศวกรรมศาสตรมหาบัณฑิต สาขาวิชาวิศวกรรมเครื่องกล</t>
  </si>
  <si>
    <t>หลักสูตรวิศวกรรมศาสตรมหาบัณฑิต สาขาวิชาวิศวกรรมโยธา</t>
  </si>
  <si>
    <t>หลักสูตรปรัชญาดุษฎีบัณฑิต สาขาวิชาวิศวกรรมเครื่องกล</t>
  </si>
  <si>
    <t>หลักสูตรเศรษฐศาสตรบัณฑิต</t>
  </si>
  <si>
    <t>หลักสูตรศิลปศาสตรมหาบัณฑิต สาขาวิชาเศรษฐศาสตร์การจัดการ</t>
  </si>
  <si>
    <t>หลักสูตรปรัชญาดุษฎีบัณฑิต สาขาวิชาเศรษฐศาสตร์</t>
  </si>
  <si>
    <t>หลักสูตรศิลปศาสตรบัณฑิต สาขาวิชาการจัดการภาคบริการและการท่องเที่ยวอย่างยั่งยืน(หลักสูตรนานาชาติ)</t>
  </si>
  <si>
    <t>หลักสูตรศิลปศาสตรบัณฑิต สาขาวิชาภาษาและการสื่อสารวัฒนธรรม(หลักสูตรนานาชาติ)</t>
  </si>
  <si>
    <t>หลักสูตรวิทยาศาสตรมหาบัณฑิต สาขาวิชาวิทยาการประเมิน</t>
  </si>
  <si>
    <t>ประเภทของหลักสูตร</t>
  </si>
  <si>
    <t>หลักสูตรทางวิชาการ</t>
  </si>
  <si>
    <t>หลักสูตรแบบก้าวหน้าวิชาการ</t>
  </si>
  <si>
    <t>หลักสูตรทางปฏิบัติการ</t>
  </si>
  <si>
    <t>หลักสูตรแบบก้าวหน้าทางปฏิบัติการ</t>
  </si>
  <si>
    <t xml:space="preserve">สรุปข้อมูลอาจารย์ผู้รับผิดชอบหลักสูตร 
</t>
  </si>
  <si>
    <t>เลือกคณะ</t>
  </si>
  <si>
    <t>จัดทำรายงานผลการดำเนินการของรายวิชาและรายงานผลการดำเนินการของประสบการณ์ภาคสนาม (ถ้ามี) ตามแบบ มคอ.5 และมคอ.6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</si>
  <si>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</si>
  <si>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ที่กำหนดในมคอ.3 และมคอ.4 (ถ้ามี) อย่างน้อยร้อยละ 25 ของรายวิชาที่เปิดสอนในแต่ละปีการศึกษา</t>
  </si>
  <si>
    <t xml:space="preserve"> - อาจารย์ที่เป็นอาจารย์ประจำหลักสูตรทั้งหมด</t>
  </si>
  <si>
    <t>มีการทวนสอบผลสัมฤทธิ์ของนิสิตตามมาตรฐานผลการเรียนรู้ที่กำหนดใน มคอ.3 และ มคอ.4 (ถ้ามี)อย่างน้อยร้อยละ 25 ของรายวิชาที่เปิดสอนในแต่ละปีการศึกษา</t>
  </si>
  <si>
    <t xml:space="preserve">จัดทำรายงานผลการดำเนินการของรายวิชา และรายงานผลการดำเนินการของประสบการณ์ภาคสนาม(ถ้ามี) ตามแบบ มคอ.5 และ มคอ.6 ภายใน 30 วัน หลังสิ้นสุดภาคการศึกษาที่เปิดสอนให้ครบทุกรายวิชา
</t>
  </si>
  <si>
    <t>โปรดระบุเหตุผลในการได้คะแนน 4 ขึ้นไป
(ตัวบ่งชี้ที่ 3.1- 
ตัวบ่งชี้ที่ 6.1)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</si>
</sst>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\ร\้\อ\ย\ล\ะ\ 0.00"/>
    <numFmt numFmtId="188" formatCode="0.0"/>
    <numFmt numFmtId="189" formatCode="0\ \ข\้\อ"/>
    <numFmt numFmtId="190" formatCode="#,##0_ ;\-#,##0\ "/>
    <numFmt numFmtId="191" formatCode="[$-1010409]#,##0.00;\-#,##0.00"/>
    <numFmt numFmtId="192" formatCode="#,##0.00_ ;\-#,##0.00\ "/>
  </numFmts>
  <fonts count="5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Tahoma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Tahoma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sz val="10"/>
      <name val="Arial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name val="Tahoma"/>
      <family val="2"/>
      <charset val="222"/>
      <scheme val="minor"/>
    </font>
    <font>
      <b/>
      <sz val="16"/>
      <color rgb="FF0070C0"/>
      <name val="Browallia New"/>
      <family val="2"/>
    </font>
    <font>
      <sz val="10"/>
      <color rgb="FF000000"/>
      <name val="Arial"/>
      <family val="2"/>
    </font>
    <font>
      <sz val="16"/>
      <name val="TH SarabunPSK"/>
      <family val="2"/>
    </font>
    <font>
      <sz val="16"/>
      <color rgb="FFFF0000"/>
      <name val="Browallia New"/>
      <family val="2"/>
    </font>
    <font>
      <sz val="16"/>
      <color theme="3" tint="0.39997558519241921"/>
      <name val="TH SarabunPSK"/>
      <family val="2"/>
    </font>
    <font>
      <b/>
      <sz val="11"/>
      <color rgb="FFFF000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b/>
      <sz val="14"/>
      <color theme="1"/>
      <name val="TH SarabunPSK"/>
      <family val="2"/>
    </font>
    <font>
      <sz val="11"/>
      <color theme="6" tint="-0.499984740745262"/>
      <name val="Tahoma"/>
      <family val="2"/>
      <charset val="222"/>
      <scheme val="minor"/>
    </font>
    <font>
      <sz val="11"/>
      <color theme="2" tint="-0.749992370372631"/>
      <name val="Tahoma"/>
      <family val="2"/>
      <charset val="222"/>
      <scheme val="minor"/>
    </font>
    <font>
      <sz val="11"/>
      <color theme="9" tint="-0.249977111117893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H Sarabun New"/>
      <family val="2"/>
    </font>
    <font>
      <sz val="16"/>
      <color rgb="FF000000"/>
      <name val="Browallia New"/>
      <family val="2"/>
    </font>
    <font>
      <sz val="16"/>
      <color rgb="FF000000"/>
      <name val="Browallia New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28" fillId="0" borderId="0">
      <alignment wrapText="1"/>
    </xf>
    <xf numFmtId="0" fontId="28" fillId="0" borderId="0">
      <alignment wrapText="1"/>
    </xf>
    <xf numFmtId="0" fontId="37" fillId="0" borderId="0"/>
  </cellStyleXfs>
  <cellXfs count="438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87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87" fontId="5" fillId="0" borderId="11" xfId="0" applyNumberFormat="1" applyFont="1" applyFill="1" applyBorder="1" applyAlignment="1" applyProtection="1">
      <alignment horizontal="center" vertical="center"/>
      <protection hidden="1"/>
    </xf>
    <xf numFmtId="187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87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87" fontId="15" fillId="0" borderId="32" xfId="0" applyNumberFormat="1" applyFont="1" applyBorder="1" applyAlignment="1" applyProtection="1">
      <alignment horizontal="center" vertical="center" wrapText="1"/>
      <protection hidden="1"/>
    </xf>
    <xf numFmtId="188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5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89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left" vertical="top" wrapText="1"/>
      <protection hidden="1"/>
    </xf>
    <xf numFmtId="0" fontId="29" fillId="10" borderId="70" xfId="2" applyFont="1" applyFill="1" applyBorder="1" applyAlignment="1" applyProtection="1">
      <alignment horizontal="center" vertical="top" wrapText="1"/>
      <protection hidden="1"/>
    </xf>
    <xf numFmtId="191" fontId="25" fillId="11" borderId="70" xfId="2" applyNumberFormat="1" applyFont="1" applyFill="1" applyBorder="1" applyAlignment="1" applyProtection="1">
      <alignment horizontal="center" vertical="top" wrapText="1"/>
      <protection hidden="1"/>
    </xf>
    <xf numFmtId="191" fontId="25" fillId="9" borderId="70" xfId="2" applyNumberFormat="1" applyFont="1" applyFill="1" applyBorder="1" applyAlignment="1" applyProtection="1">
      <alignment horizontal="center" vertical="top" wrapText="1"/>
      <protection hidden="1"/>
    </xf>
    <xf numFmtId="0" fontId="29" fillId="10" borderId="68" xfId="2" applyFont="1" applyFill="1" applyBorder="1" applyAlignment="1" applyProtection="1">
      <alignment horizontal="center" vertical="center" wrapText="1"/>
      <protection hidden="1"/>
    </xf>
    <xf numFmtId="0" fontId="29" fillId="11" borderId="70" xfId="2" applyFont="1" applyFill="1" applyBorder="1" applyAlignment="1" applyProtection="1">
      <alignment horizontal="center" vertical="top" wrapText="1"/>
      <protection hidden="1"/>
    </xf>
    <xf numFmtId="0" fontId="31" fillId="11" borderId="1" xfId="2" applyFont="1" applyFill="1" applyBorder="1" applyAlignment="1" applyProtection="1">
      <alignment horizontal="center" vertical="top" wrapText="1"/>
      <protection hidden="1"/>
    </xf>
    <xf numFmtId="191" fontId="25" fillId="10" borderId="70" xfId="2" applyNumberFormat="1" applyFont="1" applyFill="1" applyBorder="1" applyAlignment="1" applyProtection="1">
      <alignment horizontal="center" vertical="top" wrapText="1"/>
      <protection hidden="1"/>
    </xf>
    <xf numFmtId="1" fontId="25" fillId="10" borderId="70" xfId="2" applyNumberFormat="1" applyFont="1" applyFill="1" applyBorder="1" applyAlignment="1" applyProtection="1">
      <alignment horizontal="center" vertical="top" wrapText="1"/>
      <protection hidden="1"/>
    </xf>
    <xf numFmtId="192" fontId="25" fillId="11" borderId="70" xfId="2" applyNumberFormat="1" applyFont="1" applyFill="1" applyBorder="1" applyAlignment="1" applyProtection="1">
      <alignment horizontal="center" vertical="top" wrapText="1"/>
      <protection hidden="1"/>
    </xf>
    <xf numFmtId="190" fontId="25" fillId="10" borderId="70" xfId="2" applyNumberFormat="1" applyFont="1" applyFill="1" applyBorder="1" applyAlignment="1" applyProtection="1">
      <alignment horizontal="center" vertical="top" wrapText="1"/>
      <protection hidden="1"/>
    </xf>
    <xf numFmtId="190" fontId="25" fillId="10" borderId="66" xfId="2" applyNumberFormat="1" applyFont="1" applyFill="1" applyBorder="1" applyAlignment="1" applyProtection="1">
      <alignment horizontal="center" vertical="top" wrapText="1"/>
      <protection hidden="1"/>
    </xf>
    <xf numFmtId="0" fontId="29" fillId="11" borderId="0" xfId="2" applyFont="1" applyFill="1" applyBorder="1" applyAlignment="1" applyProtection="1">
      <alignment vertical="center"/>
      <protection hidden="1"/>
    </xf>
    <xf numFmtId="0" fontId="30" fillId="11" borderId="0" xfId="2" applyFont="1" applyFill="1" applyAlignment="1" applyProtection="1">
      <alignment vertical="center" wrapText="1"/>
      <protection hidden="1"/>
    </xf>
    <xf numFmtId="0" fontId="25" fillId="11" borderId="0" xfId="2" applyFont="1" applyFill="1" applyAlignment="1" applyProtection="1">
      <alignment vertical="center" wrapText="1"/>
      <protection hidden="1"/>
    </xf>
    <xf numFmtId="0" fontId="29" fillId="11" borderId="0" xfId="2" applyFont="1" applyFill="1" applyAlignment="1" applyProtection="1">
      <alignment horizontal="right" vertical="center" wrapText="1"/>
      <protection hidden="1"/>
    </xf>
    <xf numFmtId="0" fontId="29" fillId="11" borderId="0" xfId="2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3" fillId="11" borderId="70" xfId="2" applyFont="1" applyFill="1" applyBorder="1" applyAlignment="1" applyProtection="1">
      <alignment vertical="top" wrapText="1"/>
      <protection hidden="1"/>
    </xf>
    <xf numFmtId="0" fontId="25" fillId="11" borderId="68" xfId="2" applyFont="1" applyFill="1" applyBorder="1" applyAlignment="1" applyProtection="1">
      <alignment vertical="top" wrapText="1"/>
      <protection hidden="1"/>
    </xf>
    <xf numFmtId="0" fontId="25" fillId="11" borderId="73" xfId="2" applyFont="1" applyFill="1" applyBorder="1" applyAlignment="1" applyProtection="1">
      <alignment vertical="top" wrapText="1"/>
      <protection hidden="1"/>
    </xf>
    <xf numFmtId="0" fontId="25" fillId="11" borderId="77" xfId="2" applyFont="1" applyFill="1" applyBorder="1" applyAlignment="1" applyProtection="1">
      <alignment vertical="top" wrapText="1"/>
      <protection hidden="1"/>
    </xf>
    <xf numFmtId="0" fontId="25" fillId="11" borderId="1" xfId="2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0" fontId="34" fillId="11" borderId="1" xfId="2" applyFont="1" applyFill="1" applyBorder="1" applyAlignment="1" applyProtection="1">
      <alignment horizontal="center" vertical="top" wrapText="1"/>
      <protection hidden="1"/>
    </xf>
    <xf numFmtId="2" fontId="35" fillId="0" borderId="0" xfId="0" applyNumberFormat="1" applyFont="1" applyProtection="1">
      <protection hidden="1"/>
    </xf>
    <xf numFmtId="2" fontId="35" fillId="5" borderId="0" xfId="0" applyNumberFormat="1" applyFont="1" applyFill="1" applyProtection="1">
      <protection hidden="1"/>
    </xf>
    <xf numFmtId="2" fontId="35" fillId="0" borderId="0" xfId="0" applyNumberFormat="1" applyFont="1" applyAlignment="1" applyProtection="1">
      <alignment horizontal="center" vertical="center"/>
      <protection hidden="1"/>
    </xf>
    <xf numFmtId="2" fontId="35" fillId="0" borderId="0" xfId="0" applyNumberFormat="1" applyFont="1" applyAlignment="1" applyProtection="1">
      <alignment horizontal="left" vertical="top"/>
      <protection hidden="1"/>
    </xf>
    <xf numFmtId="2" fontId="35" fillId="11" borderId="0" xfId="0" applyNumberFormat="1" applyFont="1" applyFill="1" applyProtection="1">
      <protection hidden="1"/>
    </xf>
    <xf numFmtId="2" fontId="35" fillId="13" borderId="0" xfId="0" applyNumberFormat="1" applyFont="1" applyFill="1" applyAlignment="1" applyProtection="1">
      <alignment horizontal="left" vertical="center"/>
      <protection hidden="1"/>
    </xf>
    <xf numFmtId="2" fontId="35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3" fillId="0" borderId="9" xfId="0" applyFont="1" applyBorder="1" applyAlignment="1" applyProtection="1">
      <alignment vertical="top"/>
      <protection hidden="1"/>
    </xf>
    <xf numFmtId="0" fontId="36" fillId="4" borderId="2" xfId="0" applyFont="1" applyFill="1" applyBorder="1" applyAlignment="1">
      <alignment vertical="top"/>
    </xf>
    <xf numFmtId="0" fontId="2" fillId="4" borderId="5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0" borderId="78" xfId="0" applyFont="1" applyBorder="1" applyAlignment="1" applyProtection="1">
      <alignment horizontal="center" vertical="center"/>
      <protection locked="0"/>
    </xf>
    <xf numFmtId="3" fontId="5" fillId="13" borderId="8" xfId="0" applyNumberFormat="1" applyFont="1" applyFill="1" applyBorder="1" applyAlignment="1" applyProtection="1">
      <alignment horizontal="center" vertical="center"/>
      <protection locked="0"/>
    </xf>
    <xf numFmtId="3" fontId="5" fillId="13" borderId="7" xfId="0" applyNumberFormat="1" applyFont="1" applyFill="1" applyBorder="1" applyAlignment="1" applyProtection="1">
      <alignment horizontal="center" vertical="center"/>
      <protection locked="0"/>
    </xf>
    <xf numFmtId="3" fontId="5" fillId="13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Protection="1">
      <protection hidden="1"/>
    </xf>
    <xf numFmtId="0" fontId="38" fillId="14" borderId="1" xfId="4" applyFont="1" applyFill="1" applyBorder="1" applyAlignment="1"/>
    <xf numFmtId="0" fontId="38" fillId="15" borderId="1" xfId="4" applyFont="1" applyFill="1" applyBorder="1" applyAlignment="1">
      <alignment horizontal="left"/>
    </xf>
    <xf numFmtId="0" fontId="38" fillId="14" borderId="1" xfId="4" applyFont="1" applyFill="1" applyBorder="1" applyAlignment="1">
      <alignment vertical="center"/>
    </xf>
    <xf numFmtId="0" fontId="38" fillId="14" borderId="1" xfId="4" applyFont="1" applyFill="1" applyBorder="1" applyAlignment="1">
      <alignment horizontal="left" vertical="center"/>
    </xf>
    <xf numFmtId="0" fontId="39" fillId="0" borderId="0" xfId="0" applyFont="1" applyProtection="1">
      <protection hidden="1"/>
    </xf>
    <xf numFmtId="0" fontId="38" fillId="14" borderId="1" xfId="4" applyFont="1" applyFill="1" applyBorder="1" applyAlignment="1">
      <alignment horizontal="left" vertical="top"/>
    </xf>
    <xf numFmtId="0" fontId="38" fillId="15" borderId="4" xfId="4" applyFont="1" applyFill="1" applyBorder="1" applyAlignment="1">
      <alignment horizontal="left"/>
    </xf>
    <xf numFmtId="0" fontId="5" fillId="0" borderId="0" xfId="0" applyFont="1" applyBorder="1" applyProtection="1"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8" fillId="14" borderId="29" xfId="4" applyFont="1" applyFill="1" applyBorder="1" applyAlignment="1"/>
    <xf numFmtId="0" fontId="5" fillId="0" borderId="6" xfId="0" applyFont="1" applyBorder="1" applyProtection="1">
      <protection hidden="1"/>
    </xf>
    <xf numFmtId="0" fontId="5" fillId="0" borderId="28" xfId="0" applyFont="1" applyBorder="1" applyProtection="1">
      <protection hidden="1"/>
    </xf>
    <xf numFmtId="0" fontId="5" fillId="0" borderId="38" xfId="0" applyFont="1" applyBorder="1" applyProtection="1">
      <protection hidden="1"/>
    </xf>
    <xf numFmtId="0" fontId="5" fillId="0" borderId="79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0" xfId="0" applyFont="1" applyProtection="1">
      <protection locked="0"/>
    </xf>
    <xf numFmtId="0" fontId="40" fillId="0" borderId="0" xfId="0" applyFont="1" applyAlignment="1">
      <alignment vertical="center"/>
    </xf>
    <xf numFmtId="2" fontId="41" fillId="0" borderId="0" xfId="0" applyNumberFormat="1" applyFont="1" applyProtection="1"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11" borderId="17" xfId="0" applyFont="1" applyFill="1" applyBorder="1" applyAlignment="1" applyProtection="1">
      <alignment horizontal="center" vertical="top"/>
      <protection hidden="1"/>
    </xf>
    <xf numFmtId="0" fontId="5" fillId="11" borderId="1" xfId="0" applyFont="1" applyFill="1" applyBorder="1" applyAlignment="1" applyProtection="1">
      <alignment horizontal="left" vertical="top" wrapText="1"/>
      <protection hidden="1"/>
    </xf>
    <xf numFmtId="0" fontId="5" fillId="13" borderId="1" xfId="0" applyFont="1" applyFill="1" applyBorder="1" applyAlignment="1" applyProtection="1">
      <alignment horizontal="center" vertical="top"/>
      <protection hidden="1"/>
    </xf>
    <xf numFmtId="2" fontId="19" fillId="13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2" fontId="35" fillId="16" borderId="0" xfId="0" applyNumberFormat="1" applyFont="1" applyFill="1" applyAlignment="1" applyProtection="1">
      <alignment horizontal="center" vertical="center"/>
      <protection hidden="1"/>
    </xf>
    <xf numFmtId="2" fontId="35" fillId="16" borderId="0" xfId="0" applyNumberFormat="1" applyFont="1" applyFill="1" applyProtection="1">
      <protection hidden="1"/>
    </xf>
    <xf numFmtId="2" fontId="35" fillId="0" borderId="0" xfId="0" applyNumberFormat="1" applyFont="1" applyAlignment="1" applyProtection="1">
      <protection hidden="1"/>
    </xf>
    <xf numFmtId="0" fontId="43" fillId="0" borderId="0" xfId="0" applyFont="1" applyAlignment="1">
      <alignment vertical="center"/>
    </xf>
    <xf numFmtId="2" fontId="35" fillId="16" borderId="0" xfId="0" applyNumberFormat="1" applyFont="1" applyFill="1" applyAlignment="1" applyProtection="1">
      <protection hidden="1"/>
    </xf>
    <xf numFmtId="2" fontId="44" fillId="0" borderId="0" xfId="0" applyNumberFormat="1" applyFont="1" applyAlignment="1" applyProtection="1">
      <alignment horizontal="center" vertical="center"/>
      <protection hidden="1"/>
    </xf>
    <xf numFmtId="2" fontId="45" fillId="0" borderId="0" xfId="0" applyNumberFormat="1" applyFont="1" applyAlignment="1" applyProtection="1">
      <alignment horizontal="center" vertical="center"/>
      <protection hidden="1"/>
    </xf>
    <xf numFmtId="2" fontId="46" fillId="0" borderId="0" xfId="0" applyNumberFormat="1" applyFont="1" applyAlignment="1" applyProtection="1">
      <alignment horizontal="center" vertical="center"/>
      <protection hidden="1"/>
    </xf>
    <xf numFmtId="2" fontId="35" fillId="0" borderId="0" xfId="0" applyNumberFormat="1" applyFont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left" vertical="top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vertical="center"/>
      <protection hidden="1"/>
    </xf>
    <xf numFmtId="0" fontId="2" fillId="0" borderId="53" xfId="0" applyFont="1" applyFill="1" applyBorder="1" applyAlignment="1" applyProtection="1">
      <alignment vertical="center"/>
      <protection hidden="1"/>
    </xf>
    <xf numFmtId="0" fontId="2" fillId="17" borderId="51" xfId="0" applyFont="1" applyFill="1" applyBorder="1" applyAlignment="1" applyProtection="1">
      <alignment vertical="center"/>
      <protection hidden="1"/>
    </xf>
    <xf numFmtId="0" fontId="2" fillId="17" borderId="7" xfId="0" applyFont="1" applyFill="1" applyBorder="1" applyAlignment="1" applyProtection="1">
      <alignment horizontal="center" vertical="center"/>
      <protection hidden="1"/>
    </xf>
    <xf numFmtId="1" fontId="5" fillId="0" borderId="33" xfId="0" applyNumberFormat="1" applyFont="1" applyFill="1" applyBorder="1" applyAlignment="1" applyProtection="1">
      <alignment horizontal="center"/>
      <protection hidden="1"/>
    </xf>
    <xf numFmtId="0" fontId="47" fillId="15" borderId="1" xfId="0" applyFont="1" applyFill="1" applyBorder="1" applyAlignment="1">
      <alignment horizontal="left" vertical="top"/>
    </xf>
    <xf numFmtId="0" fontId="47" fillId="14" borderId="1" xfId="4" applyFont="1" applyFill="1" applyBorder="1" applyAlignment="1">
      <alignment horizontal="left" vertical="top"/>
    </xf>
    <xf numFmtId="0" fontId="47" fillId="11" borderId="0" xfId="0" applyFont="1" applyFill="1" applyAlignment="1">
      <alignment horizontal="left" vertical="top"/>
    </xf>
    <xf numFmtId="0" fontId="1" fillId="11" borderId="1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7" fillId="11" borderId="1" xfId="0" applyFont="1" applyFill="1" applyBorder="1" applyAlignment="1">
      <alignment horizontal="left" vertical="top" wrapText="1"/>
    </xf>
    <xf numFmtId="0" fontId="47" fillId="11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3" fillId="12" borderId="9" xfId="0" applyFont="1" applyFill="1" applyBorder="1" applyAlignment="1" applyProtection="1">
      <alignment vertical="top"/>
      <protection locked="0"/>
    </xf>
    <xf numFmtId="0" fontId="3" fillId="11" borderId="9" xfId="0" applyFont="1" applyFill="1" applyBorder="1" applyAlignment="1" applyProtection="1">
      <alignment vertical="top"/>
      <protection locked="0"/>
    </xf>
    <xf numFmtId="0" fontId="5" fillId="11" borderId="1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9" fillId="0" borderId="81" xfId="0" applyFont="1" applyBorder="1" applyAlignment="1" applyProtection="1">
      <alignment horizontal="left" vertical="center" wrapText="1"/>
      <protection locked="0"/>
    </xf>
    <xf numFmtId="0" fontId="49" fillId="0" borderId="81" xfId="0" applyFont="1" applyBorder="1" applyAlignment="1" applyProtection="1">
      <alignment horizontal="center" vertical="center"/>
      <protection locked="0"/>
    </xf>
    <xf numFmtId="2" fontId="5" fillId="1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17" borderId="51" xfId="0" applyFont="1" applyFill="1" applyBorder="1" applyAlignment="1" applyProtection="1">
      <alignment horizontal="center" vertical="center"/>
      <protection hidden="1"/>
    </xf>
    <xf numFmtId="0" fontId="2" fillId="17" borderId="52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3" fillId="0" borderId="79" xfId="0" applyFont="1" applyBorder="1" applyAlignment="1" applyProtection="1">
      <alignment horizontal="left" vertical="center" wrapText="1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19" fillId="0" borderId="9" xfId="0" applyFont="1" applyBorder="1" applyAlignment="1" applyProtection="1">
      <alignment horizontal="left" vertical="top" wrapText="1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4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3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4" fillId="3" borderId="54" xfId="0" applyFont="1" applyFill="1" applyBorder="1" applyAlignment="1" applyProtection="1">
      <alignment horizontal="center" vertical="top"/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0" fontId="24" fillId="0" borderId="60" xfId="0" applyFont="1" applyFill="1" applyBorder="1" applyAlignment="1" applyProtection="1">
      <alignment horizontal="center" vertical="center" wrapText="1"/>
      <protection hidden="1"/>
    </xf>
    <xf numFmtId="0" fontId="24" fillId="0" borderId="61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2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9" fillId="11" borderId="0" xfId="2" applyFont="1" applyFill="1" applyBorder="1" applyAlignment="1" applyProtection="1">
      <alignment horizontal="center" vertical="top" wrapText="1"/>
      <protection hidden="1"/>
    </xf>
    <xf numFmtId="0" fontId="25" fillId="11" borderId="1" xfId="2" applyFont="1" applyFill="1" applyBorder="1" applyAlignment="1" applyProtection="1">
      <alignment horizontal="center" vertical="top" wrapText="1"/>
      <protection hidden="1"/>
    </xf>
    <xf numFmtId="0" fontId="25" fillId="11" borderId="2" xfId="2" applyFont="1" applyFill="1" applyBorder="1" applyAlignment="1" applyProtection="1">
      <alignment horizontal="center" vertical="top" wrapText="1"/>
      <protection hidden="1"/>
    </xf>
    <xf numFmtId="2" fontId="30" fillId="11" borderId="66" xfId="2" applyNumberFormat="1" applyFont="1" applyFill="1" applyBorder="1" applyAlignment="1" applyProtection="1">
      <alignment horizontal="center" vertical="top" wrapText="1"/>
      <protection hidden="1"/>
    </xf>
    <xf numFmtId="2" fontId="30" fillId="11" borderId="67" xfId="2" applyNumberFormat="1" applyFont="1" applyFill="1" applyBorder="1" applyAlignment="1" applyProtection="1">
      <alignment horizontal="center" vertical="top" wrapText="1"/>
      <protection hidden="1"/>
    </xf>
    <xf numFmtId="0" fontId="29" fillId="10" borderId="65" xfId="2" applyFont="1" applyFill="1" applyBorder="1" applyAlignment="1" applyProtection="1">
      <alignment horizontal="center" vertical="center" wrapText="1"/>
      <protection hidden="1"/>
    </xf>
    <xf numFmtId="0" fontId="29" fillId="10" borderId="69" xfId="2" applyFont="1" applyFill="1" applyBorder="1" applyAlignment="1" applyProtection="1">
      <alignment horizontal="center" vertical="center" wrapText="1"/>
      <protection hidden="1"/>
    </xf>
    <xf numFmtId="0" fontId="29" fillId="11" borderId="9" xfId="2" applyFont="1" applyFill="1" applyBorder="1" applyAlignment="1" applyProtection="1">
      <alignment horizontal="center" vertical="top" wrapText="1"/>
      <protection hidden="1"/>
    </xf>
    <xf numFmtId="190" fontId="25" fillId="11" borderId="65" xfId="2" applyNumberFormat="1" applyFont="1" applyFill="1" applyBorder="1" applyAlignment="1" applyProtection="1">
      <alignment horizontal="center" vertical="center" textRotation="90" wrapText="1"/>
      <protection hidden="1"/>
    </xf>
    <xf numFmtId="190" fontId="25" fillId="11" borderId="71" xfId="2" applyNumberFormat="1" applyFont="1" applyFill="1" applyBorder="1" applyAlignment="1" applyProtection="1">
      <alignment horizontal="center" vertical="center" textRotation="90" wrapText="1"/>
      <protection hidden="1"/>
    </xf>
    <xf numFmtId="190" fontId="25" fillId="11" borderId="69" xfId="2" applyNumberFormat="1" applyFont="1" applyFill="1" applyBorder="1" applyAlignment="1" applyProtection="1">
      <alignment horizontal="center" vertical="center" textRotation="90" wrapText="1"/>
      <protection hidden="1"/>
    </xf>
    <xf numFmtId="191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91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0" fontId="29" fillId="11" borderId="66" xfId="2" applyFont="1" applyFill="1" applyBorder="1" applyAlignment="1" applyProtection="1">
      <alignment horizontal="center" vertical="top" wrapText="1"/>
      <protection hidden="1"/>
    </xf>
    <xf numFmtId="0" fontId="29" fillId="11" borderId="68" xfId="2" applyFont="1" applyFill="1" applyBorder="1" applyAlignment="1" applyProtection="1">
      <alignment horizontal="center" vertical="top" wrapText="1"/>
      <protection hidden="1"/>
    </xf>
    <xf numFmtId="0" fontId="31" fillId="9" borderId="2" xfId="2" applyFont="1" applyFill="1" applyBorder="1" applyAlignment="1" applyProtection="1">
      <alignment horizontal="center" vertical="top" wrapText="1"/>
      <protection hidden="1"/>
    </xf>
    <xf numFmtId="0" fontId="31" fillId="9" borderId="5" xfId="2" applyFont="1" applyFill="1" applyBorder="1" applyAlignment="1" applyProtection="1">
      <alignment horizontal="center" vertical="top" wrapText="1"/>
      <protection hidden="1"/>
    </xf>
    <xf numFmtId="0" fontId="31" fillId="9" borderId="3" xfId="2" applyFont="1" applyFill="1" applyBorder="1" applyAlignment="1" applyProtection="1">
      <alignment horizontal="center" vertical="top" wrapText="1"/>
      <protection hidden="1"/>
    </xf>
    <xf numFmtId="0" fontId="29" fillId="10" borderId="66" xfId="2" applyFont="1" applyFill="1" applyBorder="1" applyAlignment="1" applyProtection="1">
      <alignment horizontal="center" vertical="center" wrapText="1"/>
      <protection hidden="1"/>
    </xf>
    <xf numFmtId="0" fontId="29" fillId="10" borderId="68" xfId="2" applyFont="1" applyFill="1" applyBorder="1" applyAlignment="1" applyProtection="1">
      <alignment horizontal="center" vertical="center" wrapText="1"/>
      <protection hidden="1"/>
    </xf>
    <xf numFmtId="0" fontId="29" fillId="10" borderId="66" xfId="2" applyFont="1" applyFill="1" applyBorder="1" applyAlignment="1" applyProtection="1">
      <alignment horizontal="center" vertical="top" wrapText="1"/>
      <protection hidden="1"/>
    </xf>
    <xf numFmtId="0" fontId="29" fillId="10" borderId="67" xfId="2" applyFont="1" applyFill="1" applyBorder="1" applyAlignment="1" applyProtection="1">
      <alignment horizontal="center" vertical="top" wrapText="1"/>
      <protection hidden="1"/>
    </xf>
    <xf numFmtId="0" fontId="29" fillId="10" borderId="68" xfId="2" applyFont="1" applyFill="1" applyBorder="1" applyAlignment="1" applyProtection="1">
      <alignment horizontal="center" vertical="top" wrapText="1"/>
      <protection hidden="1"/>
    </xf>
    <xf numFmtId="0" fontId="33" fillId="11" borderId="74" xfId="3" applyFont="1" applyFill="1" applyBorder="1" applyAlignment="1" applyProtection="1">
      <alignment horizontal="left" vertical="top" wrapText="1"/>
      <protection hidden="1"/>
    </xf>
    <xf numFmtId="0" fontId="33" fillId="11" borderId="68" xfId="3" applyFont="1" applyFill="1" applyBorder="1" applyAlignment="1" applyProtection="1">
      <alignment horizontal="left" vertical="top" wrapText="1"/>
      <protection hidden="1"/>
    </xf>
    <xf numFmtId="190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90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190" fontId="25" fillId="11" borderId="73" xfId="2" applyNumberFormat="1" applyFont="1" applyFill="1" applyBorder="1" applyAlignment="1" applyProtection="1">
      <alignment horizontal="center" vertical="top" wrapText="1"/>
      <protection hidden="1"/>
    </xf>
    <xf numFmtId="191" fontId="32" fillId="11" borderId="71" xfId="2" applyNumberFormat="1" applyFont="1" applyFill="1" applyBorder="1" applyAlignment="1" applyProtection="1">
      <alignment horizontal="center" vertical="top" wrapText="1"/>
      <protection hidden="1"/>
    </xf>
    <xf numFmtId="191" fontId="32" fillId="11" borderId="76" xfId="2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50" fillId="0" borderId="81" xfId="0" applyFont="1" applyBorder="1" applyAlignment="1" applyProtection="1">
      <alignment horizontal="center" vertical="center" wrapText="1"/>
      <protection locked="0"/>
    </xf>
  </cellXfs>
  <cellStyles count="5">
    <cellStyle name="Hyperlink" xfId="1" builtinId="8"/>
    <cellStyle name="Normal" xfId="0" builtinId="0"/>
    <cellStyle name="Normal 2" xfId="4"/>
    <cellStyle name="Normal 2 3" xfId="3"/>
    <cellStyle name="Normal 4" xfId="2"/>
  </cellStyles>
  <dxfs count="23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531092</xdr:colOff>
      <xdr:row>37</xdr:row>
      <xdr:rowOff>65669</xdr:rowOff>
    </xdr:from>
    <xdr:to>
      <xdr:col>11</xdr:col>
      <xdr:colOff>310534</xdr:colOff>
      <xdr:row>42</xdr:row>
      <xdr:rowOff>121139</xdr:rowOff>
    </xdr:to>
    <xdr:sp macro="" textlink="">
      <xdr:nvSpPr>
        <xdr:cNvPr id="5" name="Rectangle 4"/>
        <xdr:cNvSpPr/>
      </xdr:nvSpPr>
      <xdr:spPr>
        <a:xfrm>
          <a:off x="8436842" y="12216848"/>
          <a:ext cx="6827942" cy="1484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3273799</xdr:colOff>
      <xdr:row>115</xdr:row>
      <xdr:rowOff>190500</xdr:rowOff>
    </xdr:from>
    <xdr:to>
      <xdr:col>4</xdr:col>
      <xdr:colOff>3089413</xdr:colOff>
      <xdr:row>122</xdr:row>
      <xdr:rowOff>132522</xdr:rowOff>
    </xdr:to>
    <xdr:sp macro="" textlink="">
      <xdr:nvSpPr>
        <xdr:cNvPr id="3" name="Rectangle 2"/>
        <xdr:cNvSpPr/>
      </xdr:nvSpPr>
      <xdr:spPr>
        <a:xfrm>
          <a:off x="3721060" y="43475413"/>
          <a:ext cx="4619527" cy="17393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37</xdr:row>
      <xdr:rowOff>168088</xdr:rowOff>
    </xdr:from>
    <xdr:to>
      <xdr:col>2</xdr:col>
      <xdr:colOff>1839165</xdr:colOff>
      <xdr:row>46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22</xdr:row>
      <xdr:rowOff>168087</xdr:rowOff>
    </xdr:from>
    <xdr:to>
      <xdr:col>2</xdr:col>
      <xdr:colOff>2106706</xdr:colOff>
      <xdr:row>29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20</xdr:row>
      <xdr:rowOff>36606</xdr:rowOff>
    </xdr:from>
    <xdr:to>
      <xdr:col>3</xdr:col>
      <xdr:colOff>3448050</xdr:colOff>
      <xdr:row>25</xdr:row>
      <xdr:rowOff>206375</xdr:rowOff>
    </xdr:to>
    <xdr:sp macro="" textlink="">
      <xdr:nvSpPr>
        <xdr:cNvPr id="3" name="Rectangle 2"/>
        <xdr:cNvSpPr/>
      </xdr:nvSpPr>
      <xdr:spPr>
        <a:xfrm>
          <a:off x="5686425" y="23722106"/>
          <a:ext cx="4413250" cy="13603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</a:t>
          </a:r>
        </a:p>
        <a:p>
          <a:pPr algn="l"/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2005853</xdr:colOff>
      <xdr:row>43</xdr:row>
      <xdr:rowOff>60374</xdr:rowOff>
    </xdr:from>
    <xdr:to>
      <xdr:col>6</xdr:col>
      <xdr:colOff>818029</xdr:colOff>
      <xdr:row>49</xdr:row>
      <xdr:rowOff>145676</xdr:rowOff>
    </xdr:to>
    <xdr:sp macro="" textlink="">
      <xdr:nvSpPr>
        <xdr:cNvPr id="3" name="Rectangle 2"/>
        <xdr:cNvSpPr/>
      </xdr:nvSpPr>
      <xdr:spPr>
        <a:xfrm>
          <a:off x="3574677" y="27828550"/>
          <a:ext cx="4672852" cy="14972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opLeftCell="A13" zoomScale="85" zoomScaleNormal="85" zoomScaleSheetLayoutView="145" workbookViewId="0">
      <selection activeCell="A40" sqref="A40:XFD62"/>
    </sheetView>
  </sheetViews>
  <sheetFormatPr defaultColWidth="9" defaultRowHeight="20.25" x14ac:dyDescent="0.4"/>
  <cols>
    <col min="1" max="16384" width="9" style="9"/>
  </cols>
  <sheetData>
    <row r="1" spans="1:8" ht="21.75" thickTop="1" x14ac:dyDescent="0.45">
      <c r="A1" s="71" t="s">
        <v>144</v>
      </c>
      <c r="B1" s="72"/>
      <c r="C1" s="72"/>
      <c r="D1" s="72"/>
      <c r="E1" s="72"/>
      <c r="F1" s="72"/>
      <c r="G1" s="72"/>
      <c r="H1" s="73"/>
    </row>
    <row r="2" spans="1:8" ht="21.75" thickBot="1" x14ac:dyDescent="0.5">
      <c r="A2" s="74" t="s">
        <v>141</v>
      </c>
      <c r="B2" s="75"/>
      <c r="C2" s="75"/>
      <c r="D2" s="75"/>
      <c r="E2" s="75"/>
      <c r="F2" s="75"/>
      <c r="G2" s="75"/>
      <c r="H2" s="76"/>
    </row>
    <row r="3" spans="1:8" ht="24" thickTop="1" x14ac:dyDescent="0.5">
      <c r="A3" s="167" t="s">
        <v>238</v>
      </c>
      <c r="G3" s="198" t="s">
        <v>324</v>
      </c>
      <c r="H3" s="170"/>
    </row>
    <row r="4" spans="1:8" ht="21" x14ac:dyDescent="0.45">
      <c r="A4" s="69" t="s">
        <v>142</v>
      </c>
      <c r="G4" s="170"/>
      <c r="H4" s="170"/>
    </row>
    <row r="5" spans="1:8" x14ac:dyDescent="0.4">
      <c r="A5" s="9" t="s">
        <v>143</v>
      </c>
    </row>
    <row r="10" spans="1:8" x14ac:dyDescent="0.4">
      <c r="B10" s="9" t="s">
        <v>145</v>
      </c>
    </row>
    <row r="11" spans="1:8" x14ac:dyDescent="0.4">
      <c r="B11" s="9" t="s">
        <v>146</v>
      </c>
    </row>
    <row r="12" spans="1:8" x14ac:dyDescent="0.4">
      <c r="B12" s="9" t="s">
        <v>147</v>
      </c>
    </row>
    <row r="20" spans="1:14" ht="21" x14ac:dyDescent="0.45">
      <c r="A20" s="9" t="s">
        <v>148</v>
      </c>
      <c r="F20" s="70" t="s">
        <v>149</v>
      </c>
      <c r="N20" s="70"/>
    </row>
    <row r="21" spans="1:14" ht="21" x14ac:dyDescent="0.45">
      <c r="A21" s="9" t="s">
        <v>334</v>
      </c>
      <c r="H21" s="70" t="s">
        <v>149</v>
      </c>
    </row>
    <row r="22" spans="1:14" ht="21" x14ac:dyDescent="0.45">
      <c r="A22" s="9" t="s">
        <v>150</v>
      </c>
      <c r="F22" s="70" t="s">
        <v>149</v>
      </c>
    </row>
    <row r="23" spans="1:14" ht="21" x14ac:dyDescent="0.4">
      <c r="A23" s="14" t="s">
        <v>168</v>
      </c>
      <c r="L23" s="70" t="s">
        <v>149</v>
      </c>
    </row>
    <row r="24" spans="1:14" ht="21" x14ac:dyDescent="0.45">
      <c r="A24" s="9" t="s">
        <v>169</v>
      </c>
      <c r="J24" s="70" t="s">
        <v>149</v>
      </c>
    </row>
    <row r="25" spans="1:14" x14ac:dyDescent="0.4">
      <c r="A25" s="9" t="s">
        <v>193</v>
      </c>
    </row>
    <row r="26" spans="1:14" x14ac:dyDescent="0.4">
      <c r="A26" s="9" t="s">
        <v>194</v>
      </c>
      <c r="G26" s="70" t="s">
        <v>149</v>
      </c>
    </row>
    <row r="28" spans="1:14" x14ac:dyDescent="0.4">
      <c r="A28" s="9" t="s">
        <v>239</v>
      </c>
    </row>
    <row r="29" spans="1:14" x14ac:dyDescent="0.4">
      <c r="A29" s="174">
        <v>41984</v>
      </c>
      <c r="B29" s="9" t="s">
        <v>240</v>
      </c>
    </row>
    <row r="30" spans="1:14" x14ac:dyDescent="0.4">
      <c r="B30" s="9" t="s">
        <v>241</v>
      </c>
    </row>
    <row r="31" spans="1:14" x14ac:dyDescent="0.4">
      <c r="A31" s="174">
        <v>42213</v>
      </c>
      <c r="B31" s="9" t="s">
        <v>268</v>
      </c>
    </row>
    <row r="32" spans="1:14" x14ac:dyDescent="0.4">
      <c r="A32" s="174">
        <v>42438</v>
      </c>
      <c r="B32" s="9" t="s">
        <v>269</v>
      </c>
    </row>
    <row r="33" spans="1:10" x14ac:dyDescent="0.4">
      <c r="A33" s="174">
        <v>42527</v>
      </c>
      <c r="B33" s="9" t="s">
        <v>285</v>
      </c>
    </row>
    <row r="34" spans="1:10" x14ac:dyDescent="0.4">
      <c r="A34" s="174">
        <v>42544</v>
      </c>
      <c r="B34" s="9" t="s">
        <v>291</v>
      </c>
    </row>
    <row r="35" spans="1:10" x14ac:dyDescent="0.4">
      <c r="A35" s="174">
        <v>42545</v>
      </c>
      <c r="B35" s="9" t="s">
        <v>292</v>
      </c>
    </row>
    <row r="36" spans="1:10" x14ac:dyDescent="0.4">
      <c r="A36" s="174">
        <v>42555</v>
      </c>
      <c r="B36" s="9" t="s">
        <v>293</v>
      </c>
    </row>
    <row r="37" spans="1:10" x14ac:dyDescent="0.4">
      <c r="A37" s="174">
        <v>42558</v>
      </c>
      <c r="B37" s="9" t="s">
        <v>294</v>
      </c>
    </row>
    <row r="38" spans="1:10" x14ac:dyDescent="0.4">
      <c r="A38" s="174">
        <v>43188</v>
      </c>
      <c r="B38" s="9" t="s">
        <v>299</v>
      </c>
    </row>
    <row r="40" spans="1:10" ht="21.75" hidden="1" x14ac:dyDescent="0.4">
      <c r="B40" s="252" t="s">
        <v>327</v>
      </c>
      <c r="C40" s="253"/>
      <c r="D40" s="253"/>
      <c r="E40" s="253"/>
      <c r="F40" s="254"/>
      <c r="J40" s="9" t="s">
        <v>43</v>
      </c>
    </row>
    <row r="41" spans="1:10" ht="21.75" hidden="1" x14ac:dyDescent="0.4">
      <c r="B41" s="243" t="s">
        <v>126</v>
      </c>
      <c r="C41" s="250"/>
      <c r="D41" s="250"/>
      <c r="E41" s="250"/>
      <c r="F41" s="255"/>
      <c r="J41" s="9" t="s">
        <v>295</v>
      </c>
    </row>
    <row r="42" spans="1:10" ht="22.5" hidden="1" x14ac:dyDescent="0.4">
      <c r="B42" s="246" t="s">
        <v>129</v>
      </c>
      <c r="C42" s="250"/>
      <c r="D42" s="250"/>
      <c r="E42" s="250"/>
      <c r="F42" s="255"/>
      <c r="J42" s="238" t="s">
        <v>116</v>
      </c>
    </row>
    <row r="43" spans="1:10" ht="21.75" hidden="1" x14ac:dyDescent="0.4">
      <c r="B43" s="244" t="s">
        <v>328</v>
      </c>
      <c r="C43" s="250"/>
      <c r="D43" s="250"/>
      <c r="E43" s="250"/>
      <c r="F43" s="255"/>
    </row>
    <row r="44" spans="1:10" ht="21" hidden="1" x14ac:dyDescent="0.4">
      <c r="B44" s="245" t="s">
        <v>329</v>
      </c>
      <c r="C44" s="250"/>
      <c r="D44" s="250"/>
      <c r="E44" s="250"/>
      <c r="F44" s="255"/>
    </row>
    <row r="45" spans="1:10" ht="21.75" hidden="1" x14ac:dyDescent="0.4">
      <c r="B45" s="243" t="s">
        <v>120</v>
      </c>
      <c r="C45" s="250"/>
      <c r="D45" s="250"/>
      <c r="E45" s="250"/>
      <c r="F45" s="255"/>
    </row>
    <row r="46" spans="1:10" ht="21.75" hidden="1" x14ac:dyDescent="0.4">
      <c r="B46" s="243" t="s">
        <v>123</v>
      </c>
      <c r="C46" s="250"/>
      <c r="D46" s="250"/>
      <c r="E46" s="250"/>
      <c r="F46" s="255"/>
    </row>
    <row r="47" spans="1:10" ht="21.75" hidden="1" x14ac:dyDescent="0.4">
      <c r="B47" s="243" t="s">
        <v>325</v>
      </c>
      <c r="C47" s="250"/>
      <c r="D47" s="250"/>
      <c r="E47" s="250"/>
      <c r="F47" s="255"/>
    </row>
    <row r="48" spans="1:10" ht="21" hidden="1" x14ac:dyDescent="0.4">
      <c r="B48" s="245" t="s">
        <v>330</v>
      </c>
      <c r="C48" s="250"/>
      <c r="D48" s="250"/>
      <c r="E48" s="250"/>
      <c r="F48" s="255"/>
    </row>
    <row r="49" spans="2:6" ht="21" hidden="1" x14ac:dyDescent="0.4">
      <c r="B49" s="248" t="s">
        <v>130</v>
      </c>
      <c r="C49" s="250"/>
      <c r="D49" s="250"/>
      <c r="E49" s="250"/>
      <c r="F49" s="255"/>
    </row>
    <row r="50" spans="2:6" ht="21.75" hidden="1" x14ac:dyDescent="0.4">
      <c r="B50" s="243" t="s">
        <v>331</v>
      </c>
      <c r="C50" s="250"/>
      <c r="D50" s="250"/>
      <c r="E50" s="250"/>
      <c r="F50" s="255"/>
    </row>
    <row r="51" spans="2:6" ht="21.75" hidden="1" x14ac:dyDescent="0.4">
      <c r="B51" s="243" t="s">
        <v>124</v>
      </c>
      <c r="C51" s="250"/>
      <c r="D51" s="250"/>
      <c r="E51" s="250"/>
      <c r="F51" s="255"/>
    </row>
    <row r="52" spans="2:6" ht="21.75" hidden="1" x14ac:dyDescent="0.4">
      <c r="B52" s="243" t="s">
        <v>125</v>
      </c>
      <c r="C52" s="250"/>
      <c r="D52" s="250"/>
      <c r="E52" s="250"/>
      <c r="F52" s="255"/>
    </row>
    <row r="53" spans="2:6" ht="21.75" hidden="1" x14ac:dyDescent="0.4">
      <c r="B53" s="243" t="s">
        <v>121</v>
      </c>
      <c r="C53" s="250"/>
      <c r="D53" s="250"/>
      <c r="E53" s="250"/>
      <c r="F53" s="255"/>
    </row>
    <row r="54" spans="2:6" ht="21.75" hidden="1" x14ac:dyDescent="0.4">
      <c r="B54" s="243" t="s">
        <v>326</v>
      </c>
      <c r="C54" s="250"/>
      <c r="D54" s="250"/>
      <c r="E54" s="250"/>
      <c r="F54" s="255"/>
    </row>
    <row r="55" spans="2:6" ht="21.75" hidden="1" x14ac:dyDescent="0.4">
      <c r="B55" s="243" t="s">
        <v>119</v>
      </c>
      <c r="C55" s="250"/>
      <c r="D55" s="250"/>
      <c r="E55" s="250"/>
      <c r="F55" s="255"/>
    </row>
    <row r="56" spans="2:6" ht="21.75" hidden="1" x14ac:dyDescent="0.4">
      <c r="B56" s="243" t="s">
        <v>136</v>
      </c>
      <c r="C56" s="250"/>
      <c r="D56" s="250"/>
      <c r="E56" s="250"/>
      <c r="F56" s="255"/>
    </row>
    <row r="57" spans="2:6" ht="21.75" hidden="1" x14ac:dyDescent="0.4">
      <c r="B57" s="243" t="s">
        <v>132</v>
      </c>
      <c r="C57" s="250"/>
      <c r="D57" s="250"/>
      <c r="E57" s="250"/>
      <c r="F57" s="255"/>
    </row>
    <row r="58" spans="2:6" ht="21.75" hidden="1" x14ac:dyDescent="0.4">
      <c r="B58" s="243" t="s">
        <v>131</v>
      </c>
      <c r="C58" s="250"/>
      <c r="D58" s="250"/>
      <c r="E58" s="250"/>
      <c r="F58" s="255"/>
    </row>
    <row r="59" spans="2:6" ht="21.75" hidden="1" x14ac:dyDescent="0.4">
      <c r="B59" s="243" t="s">
        <v>133</v>
      </c>
      <c r="C59" s="250"/>
      <c r="D59" s="250"/>
      <c r="E59" s="250"/>
      <c r="F59" s="255"/>
    </row>
    <row r="60" spans="2:6" ht="21.75" hidden="1" x14ac:dyDescent="0.4">
      <c r="B60" s="249" t="s">
        <v>332</v>
      </c>
      <c r="C60" s="250"/>
      <c r="D60" s="250"/>
      <c r="E60" s="250"/>
      <c r="F60" s="255"/>
    </row>
    <row r="61" spans="2:6" ht="21.75" hidden="1" x14ac:dyDescent="0.4">
      <c r="B61" s="244" t="s">
        <v>137</v>
      </c>
      <c r="C61" s="250"/>
      <c r="D61" s="250"/>
      <c r="E61" s="250"/>
      <c r="F61" s="255"/>
    </row>
    <row r="62" spans="2:6" ht="21.75" hidden="1" x14ac:dyDescent="0.4">
      <c r="B62" s="243" t="s">
        <v>138</v>
      </c>
      <c r="C62" s="256"/>
      <c r="D62" s="256"/>
      <c r="E62" s="256"/>
      <c r="F62" s="257"/>
    </row>
  </sheetData>
  <sheetProtection algorithmName="SHA-512" hashValue="pZ6cgCmABGDTpo8ZWXUDB+IvP0/q2aF+ZbMzGHZXhV8t8KXulsBoCO2BI80URir5xa4GrrrzvVgdLxPiVJXNfw==" saltValue="pvcPvJnNEOQUp3U4o3OeQw==" spinCount="100000" sheet="1" selectLockedCells="1" selectUnlockedCells="1"/>
  <sortState ref="B40:B63">
    <sortCondition ref="B40"/>
  </sortState>
  <conditionalFormatting sqref="J42">
    <cfRule type="cellIs" dxfId="231" priority="1" operator="equal">
      <formula>"เลือก"</formula>
    </cfRule>
  </conditionalFormatting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showGridLines="0" tabSelected="1" topLeftCell="B1" zoomScale="115" zoomScaleNormal="115" zoomScaleSheetLayoutView="70" workbookViewId="0">
      <selection activeCell="F21" sqref="F21"/>
    </sheetView>
  </sheetViews>
  <sheetFormatPr defaultColWidth="9" defaultRowHeight="22.5" x14ac:dyDescent="0.45"/>
  <cols>
    <col min="1" max="1" width="5.125" style="4" customWidth="1"/>
    <col min="2" max="2" width="14.625" style="4" customWidth="1"/>
    <col min="3" max="3" width="29" style="4" customWidth="1"/>
    <col min="4" max="4" width="21.125" style="4" customWidth="1"/>
    <col min="5" max="5" width="18.125" style="4" customWidth="1"/>
    <col min="6" max="6" width="17.25" style="4" customWidth="1"/>
    <col min="7" max="7" width="16.625" style="4" customWidth="1"/>
    <col min="8" max="8" width="27" style="4" customWidth="1"/>
    <col min="9" max="9" width="29.875" style="4" customWidth="1"/>
    <col min="10" max="16384" width="9" style="4"/>
  </cols>
  <sheetData>
    <row r="1" spans="1:12" ht="27" customHeight="1" x14ac:dyDescent="0.45">
      <c r="A1"/>
      <c r="C1" s="234" t="s">
        <v>236</v>
      </c>
      <c r="D1" s="307" t="s">
        <v>68</v>
      </c>
      <c r="E1" s="308"/>
      <c r="F1" s="308"/>
      <c r="G1" s="94" t="s">
        <v>166</v>
      </c>
      <c r="H1" s="199">
        <v>2558</v>
      </c>
      <c r="I1" s="235" t="s">
        <v>306</v>
      </c>
      <c r="J1" s="236"/>
      <c r="K1" s="236"/>
      <c r="L1" s="237"/>
    </row>
    <row r="2" spans="1:12" ht="24" customHeight="1" x14ac:dyDescent="0.45">
      <c r="A2"/>
      <c r="B2" s="85" t="s">
        <v>227</v>
      </c>
      <c r="C2" s="316" t="s">
        <v>413</v>
      </c>
      <c r="D2" s="316"/>
      <c r="E2" s="142"/>
      <c r="F2" s="86" t="s">
        <v>99</v>
      </c>
      <c r="G2" s="315" t="s">
        <v>67</v>
      </c>
      <c r="H2" s="315"/>
      <c r="I2"/>
    </row>
    <row r="3" spans="1:12" s="151" customFormat="1" ht="60.75" customHeight="1" x14ac:dyDescent="0.2">
      <c r="A3" s="150"/>
      <c r="B3" s="141" t="s">
        <v>69</v>
      </c>
      <c r="C3" s="326"/>
      <c r="D3" s="326"/>
      <c r="E3" s="329" t="s">
        <v>225</v>
      </c>
      <c r="F3" s="329"/>
      <c r="G3" s="330"/>
      <c r="H3" s="330"/>
      <c r="I3" s="149" t="s">
        <v>224</v>
      </c>
    </row>
    <row r="4" spans="1:12" ht="26.25" customHeight="1" x14ac:dyDescent="0.45">
      <c r="A4"/>
      <c r="C4" s="31" t="s">
        <v>234</v>
      </c>
      <c r="D4" s="140"/>
      <c r="F4" s="330"/>
      <c r="G4" s="330"/>
      <c r="H4" s="330"/>
      <c r="I4" s="139"/>
    </row>
    <row r="5" spans="1:12" ht="26.25" customHeight="1" x14ac:dyDescent="0.45">
      <c r="A5"/>
      <c r="B5" s="143" t="s">
        <v>228</v>
      </c>
      <c r="C5" s="327"/>
      <c r="D5" s="327"/>
      <c r="E5" s="143" t="s">
        <v>231</v>
      </c>
      <c r="F5" s="327"/>
      <c r="G5" s="327"/>
      <c r="H5" s="327"/>
      <c r="I5" s="139"/>
    </row>
    <row r="6" spans="1:12" ht="26.25" customHeight="1" x14ac:dyDescent="0.45">
      <c r="A6"/>
      <c r="B6" s="143" t="s">
        <v>229</v>
      </c>
      <c r="C6" s="328"/>
      <c r="D6" s="328"/>
      <c r="E6" s="143" t="s">
        <v>232</v>
      </c>
      <c r="F6" s="328"/>
      <c r="G6" s="328"/>
      <c r="H6" s="328"/>
      <c r="I6" s="139"/>
    </row>
    <row r="7" spans="1:12" ht="26.25" customHeight="1" x14ac:dyDescent="0.45">
      <c r="A7"/>
      <c r="B7" s="144" t="s">
        <v>230</v>
      </c>
      <c r="C7" s="328"/>
      <c r="D7" s="328"/>
      <c r="E7" s="143" t="s">
        <v>233</v>
      </c>
      <c r="F7" s="328"/>
      <c r="G7" s="328"/>
      <c r="H7" s="328"/>
      <c r="I7" s="139"/>
    </row>
    <row r="8" spans="1:12" ht="24.75" customHeight="1" x14ac:dyDescent="0.45">
      <c r="A8"/>
      <c r="B8" s="233" t="s">
        <v>226</v>
      </c>
      <c r="C8" s="331"/>
      <c r="D8" s="331"/>
      <c r="E8" s="289" t="s">
        <v>407</v>
      </c>
      <c r="F8" s="326" t="s">
        <v>43</v>
      </c>
      <c r="G8" s="326"/>
      <c r="H8" s="326"/>
      <c r="I8"/>
    </row>
    <row r="9" spans="1:12" ht="28.5" customHeight="1" x14ac:dyDescent="0.5">
      <c r="A9" s="5" t="s">
        <v>315</v>
      </c>
      <c r="I9"/>
    </row>
    <row r="10" spans="1:12" ht="86.25" customHeight="1" x14ac:dyDescent="0.45">
      <c r="A10" s="33" t="s">
        <v>19</v>
      </c>
      <c r="B10" s="34" t="s">
        <v>21</v>
      </c>
      <c r="C10" s="251" t="s">
        <v>20</v>
      </c>
      <c r="D10" s="251" t="s">
        <v>28</v>
      </c>
      <c r="E10" s="146" t="s">
        <v>235</v>
      </c>
      <c r="F10" s="78" t="s">
        <v>153</v>
      </c>
      <c r="G10" s="78" t="s">
        <v>151</v>
      </c>
      <c r="H10" s="34" t="s">
        <v>152</v>
      </c>
      <c r="I10" s="34" t="s">
        <v>32</v>
      </c>
    </row>
    <row r="11" spans="1:12" x14ac:dyDescent="0.45">
      <c r="A11" s="32" t="str">
        <f t="shared" ref="A11" si="0">IF(C11="","",1)</f>
        <v/>
      </c>
      <c r="B11" s="162" t="s">
        <v>43</v>
      </c>
      <c r="C11" s="436"/>
      <c r="D11" s="238" t="s">
        <v>43</v>
      </c>
      <c r="E11" s="145"/>
      <c r="F11" s="163" t="s">
        <v>43</v>
      </c>
      <c r="G11" s="196"/>
      <c r="H11" s="176"/>
      <c r="I11" s="177"/>
    </row>
    <row r="12" spans="1:12" x14ac:dyDescent="0.45">
      <c r="A12" s="32" t="str">
        <f>IF(C12="","",2)</f>
        <v/>
      </c>
      <c r="B12" s="163" t="s">
        <v>43</v>
      </c>
      <c r="C12" s="152"/>
      <c r="D12" s="238" t="s">
        <v>43</v>
      </c>
      <c r="E12" s="145"/>
      <c r="F12" s="163" t="s">
        <v>43</v>
      </c>
      <c r="G12" s="195"/>
      <c r="H12" s="178"/>
      <c r="I12" s="179"/>
    </row>
    <row r="13" spans="1:12" ht="18" customHeight="1" x14ac:dyDescent="0.45">
      <c r="A13" s="32" t="str">
        <f>IF(C13="","",3)</f>
        <v/>
      </c>
      <c r="B13" s="163" t="s">
        <v>43</v>
      </c>
      <c r="C13" s="175"/>
      <c r="D13" s="238" t="s">
        <v>43</v>
      </c>
      <c r="E13" s="145"/>
      <c r="F13" s="163" t="s">
        <v>43</v>
      </c>
      <c r="G13" s="195"/>
      <c r="H13" s="178"/>
      <c r="I13" s="179"/>
    </row>
    <row r="14" spans="1:12" ht="18" customHeight="1" x14ac:dyDescent="0.45">
      <c r="A14" s="32" t="str">
        <f>IF(C14="","",4)</f>
        <v/>
      </c>
      <c r="B14" s="163" t="s">
        <v>43</v>
      </c>
      <c r="C14" s="175"/>
      <c r="D14" s="238" t="s">
        <v>43</v>
      </c>
      <c r="E14" s="145"/>
      <c r="F14" s="163" t="s">
        <v>43</v>
      </c>
      <c r="G14" s="195"/>
      <c r="H14" s="178"/>
      <c r="I14" s="179"/>
    </row>
    <row r="15" spans="1:12" ht="18" customHeight="1" x14ac:dyDescent="0.45">
      <c r="A15" s="32" t="str">
        <f>IF(C15="","",5)</f>
        <v/>
      </c>
      <c r="B15" s="163" t="s">
        <v>43</v>
      </c>
      <c r="C15" s="175"/>
      <c r="D15" s="238" t="s">
        <v>43</v>
      </c>
      <c r="E15" s="437"/>
      <c r="F15" s="163" t="s">
        <v>43</v>
      </c>
      <c r="G15" s="312"/>
      <c r="H15" s="311"/>
      <c r="I15" s="312"/>
    </row>
    <row r="16" spans="1:12" ht="18" customHeight="1" x14ac:dyDescent="0.5">
      <c r="A16" s="32" t="str">
        <f>IF(C16="","",6)</f>
        <v/>
      </c>
      <c r="B16" s="165" t="s">
        <v>43</v>
      </c>
      <c r="C16" s="152"/>
      <c r="D16" s="238" t="s">
        <v>43</v>
      </c>
      <c r="E16" s="147"/>
      <c r="F16" s="163" t="s">
        <v>43</v>
      </c>
      <c r="G16" s="195"/>
      <c r="H16" s="154"/>
      <c r="I16" s="137"/>
    </row>
    <row r="17" spans="1:9" ht="18" customHeight="1" x14ac:dyDescent="0.5">
      <c r="A17" s="32" t="str">
        <f>IF(C17="","",7)</f>
        <v/>
      </c>
      <c r="B17" s="165" t="s">
        <v>43</v>
      </c>
      <c r="C17" s="152"/>
      <c r="D17" s="238" t="s">
        <v>43</v>
      </c>
      <c r="E17" s="147"/>
      <c r="F17" s="163" t="s">
        <v>43</v>
      </c>
      <c r="G17" s="195"/>
      <c r="H17" s="154"/>
      <c r="I17" s="137"/>
    </row>
    <row r="18" spans="1:9" ht="18" customHeight="1" x14ac:dyDescent="0.5">
      <c r="A18" s="32" t="str">
        <f>IF(C18="","",8)</f>
        <v/>
      </c>
      <c r="B18" s="165" t="s">
        <v>43</v>
      </c>
      <c r="C18" s="152"/>
      <c r="D18" s="238" t="s">
        <v>43</v>
      </c>
      <c r="E18" s="147"/>
      <c r="F18" s="163" t="s">
        <v>43</v>
      </c>
      <c r="G18" s="195"/>
      <c r="H18" s="154"/>
      <c r="I18" s="137"/>
    </row>
    <row r="19" spans="1:9" ht="18" customHeight="1" x14ac:dyDescent="0.5">
      <c r="A19" s="32" t="str">
        <f>IF(C19="","",9)</f>
        <v/>
      </c>
      <c r="B19" s="165" t="s">
        <v>43</v>
      </c>
      <c r="C19" s="152"/>
      <c r="D19" s="238" t="s">
        <v>43</v>
      </c>
      <c r="E19" s="147"/>
      <c r="F19" s="163" t="s">
        <v>43</v>
      </c>
      <c r="G19" s="195"/>
      <c r="H19" s="154"/>
      <c r="I19" s="137"/>
    </row>
    <row r="20" spans="1:9" ht="18" customHeight="1" x14ac:dyDescent="0.5">
      <c r="A20" s="32" t="str">
        <f>IF(C20="","",10)</f>
        <v/>
      </c>
      <c r="B20" s="165" t="s">
        <v>43</v>
      </c>
      <c r="C20" s="152"/>
      <c r="D20" s="238" t="s">
        <v>43</v>
      </c>
      <c r="E20" s="147"/>
      <c r="F20" s="163" t="s">
        <v>43</v>
      </c>
      <c r="G20" s="195"/>
      <c r="H20" s="154"/>
      <c r="I20" s="137"/>
    </row>
    <row r="21" spans="1:9" ht="23.25" customHeight="1" x14ac:dyDescent="0.5">
      <c r="A21" s="32" t="str">
        <f>IF(C21="","",11)</f>
        <v/>
      </c>
      <c r="B21" s="165" t="s">
        <v>43</v>
      </c>
      <c r="C21" s="152"/>
      <c r="D21" s="238" t="s">
        <v>43</v>
      </c>
      <c r="E21" s="147"/>
      <c r="F21" s="163" t="s">
        <v>43</v>
      </c>
      <c r="G21" s="195"/>
      <c r="H21" s="154"/>
      <c r="I21" s="137"/>
    </row>
    <row r="22" spans="1:9" ht="23.25" customHeight="1" x14ac:dyDescent="0.5">
      <c r="A22" s="32" t="str">
        <f>IF(C22="","",12)</f>
        <v/>
      </c>
      <c r="B22" s="165" t="s">
        <v>43</v>
      </c>
      <c r="C22" s="152"/>
      <c r="D22" s="238" t="s">
        <v>43</v>
      </c>
      <c r="E22" s="147"/>
      <c r="F22" s="163" t="s">
        <v>43</v>
      </c>
      <c r="G22" s="195"/>
      <c r="H22" s="154"/>
      <c r="I22" s="137"/>
    </row>
    <row r="23" spans="1:9" ht="23.25" customHeight="1" x14ac:dyDescent="0.5">
      <c r="A23" s="32" t="str">
        <f>IF(C23="","",13)</f>
        <v/>
      </c>
      <c r="B23" s="165" t="s">
        <v>43</v>
      </c>
      <c r="C23" s="152"/>
      <c r="D23" s="238" t="s">
        <v>43</v>
      </c>
      <c r="E23" s="147"/>
      <c r="F23" s="163" t="s">
        <v>43</v>
      </c>
      <c r="G23" s="195"/>
      <c r="H23" s="154"/>
      <c r="I23" s="137"/>
    </row>
    <row r="24" spans="1:9" ht="23.25" customHeight="1" x14ac:dyDescent="0.5">
      <c r="A24" s="32" t="str">
        <f>IF(C24="","",14)</f>
        <v/>
      </c>
      <c r="B24" s="165" t="s">
        <v>43</v>
      </c>
      <c r="C24" s="152"/>
      <c r="D24" s="238" t="s">
        <v>43</v>
      </c>
      <c r="E24" s="147"/>
      <c r="F24" s="163" t="s">
        <v>43</v>
      </c>
      <c r="G24" s="195"/>
      <c r="H24" s="154"/>
      <c r="I24" s="137"/>
    </row>
    <row r="25" spans="1:9" ht="23.25" customHeight="1" x14ac:dyDescent="0.5">
      <c r="A25" s="32" t="str">
        <f>IF(C25="","",15)</f>
        <v/>
      </c>
      <c r="B25" s="166" t="s">
        <v>43</v>
      </c>
      <c r="C25" s="153"/>
      <c r="D25" s="238" t="s">
        <v>43</v>
      </c>
      <c r="E25" s="148"/>
      <c r="F25" s="164" t="s">
        <v>43</v>
      </c>
      <c r="G25" s="197"/>
      <c r="H25" s="155"/>
      <c r="I25" s="138"/>
    </row>
    <row r="26" spans="1:9" ht="41.25" customHeight="1" x14ac:dyDescent="0.45">
      <c r="B26" s="317" t="s">
        <v>412</v>
      </c>
      <c r="C26" s="317"/>
      <c r="D26" s="317"/>
      <c r="E26" s="317"/>
      <c r="F26" s="317"/>
    </row>
    <row r="27" spans="1:9" x14ac:dyDescent="0.45">
      <c r="B27" s="247"/>
      <c r="C27" s="7"/>
      <c r="D27" s="8" t="s">
        <v>26</v>
      </c>
      <c r="E27" s="322" t="s">
        <v>155</v>
      </c>
      <c r="F27" s="323"/>
      <c r="G27" s="279" t="s">
        <v>154</v>
      </c>
      <c r="H27" s="8" t="s">
        <v>23</v>
      </c>
    </row>
    <row r="28" spans="1:9" x14ac:dyDescent="0.45">
      <c r="B28" s="247"/>
      <c r="C28" s="159" t="s">
        <v>33</v>
      </c>
      <c r="D28" s="67" t="str">
        <f>IF(COUNTBLANK($C$11:$C$25)=15,"",COUNTIFS($F$11:$F$25,info!$C$12,INTRO!$B$11:$B$25,info!$B$6))</f>
        <v/>
      </c>
      <c r="E28" s="324" t="str">
        <f>IF(COUNTBLANK($C$11:$C$25)=15,"",COUNTIFS($F$11:$F$25,info!$C$12,INTRO!$B$11:$B$25,info!$B$5))</f>
        <v/>
      </c>
      <c r="F28" s="325"/>
      <c r="G28" s="280" t="str">
        <f>IF(COUNTBLANK($C$11:$C$25)=15,"",COUNTIFS($F$11:$F$25,info!$C$12,INTRO!$B$11:$B$25,info!$B$4))</f>
        <v/>
      </c>
      <c r="H28" s="67" t="str">
        <f>IF(COUNTBLANK($C$11:$C$25)=15,"",COUNTIFS($F$11:$F$25,info!$C$12,INTRO!$B$11:$B$25,info!$B$3))</f>
        <v/>
      </c>
    </row>
    <row r="29" spans="1:9" x14ac:dyDescent="0.45">
      <c r="B29" s="247"/>
      <c r="C29" s="160" t="s">
        <v>35</v>
      </c>
      <c r="D29" s="283" t="str">
        <f>IF(COUNTBLANK($C$11:$C$25)=15,"",COUNTIFS($F$11:$F$25,info!$C$11,INTRO!$B$11:$B$25,info!$B$6))</f>
        <v/>
      </c>
      <c r="E29" s="320" t="str">
        <f>IF(COUNTBLANK($C$11:$C$25)=15,"",COUNTIFS($F$11:$F$25,info!$C$11,INTRO!$B$11:$B$25,info!$B$5))</f>
        <v/>
      </c>
      <c r="F29" s="321"/>
      <c r="G29" s="282" t="str">
        <f>IF(COUNTBLANK($C$11:$C$25)=15,"",COUNTIFS($F$11:$F$25,info!$C$11,INTRO!$B$11:$B$25,info!$B$4))</f>
        <v/>
      </c>
      <c r="H29" s="283" t="str">
        <f>IF(COUNTBLANK($C$11:$C$25)=15,"",COUNTIFS($F$11:$F$25,info!$C$11,INTRO!$B$11:$B$25,info!$B$3))</f>
        <v/>
      </c>
    </row>
    <row r="30" spans="1:9" x14ac:dyDescent="0.45">
      <c r="B30" s="247"/>
      <c r="C30" s="161" t="s">
        <v>34</v>
      </c>
      <c r="D30" s="68" t="str">
        <f>IF(COUNTBLANK($C$11:$C$25)=15,"",COUNTIFS($F$11:$F$25,info!$C$10,INTRO!$B$11:$B$25,info!$B$6))</f>
        <v/>
      </c>
      <c r="E30" s="318" t="str">
        <f>IF(COUNTBLANK($C$11:$C$25)=15,"",COUNTIFS($F$11:$F$25,info!$C$10,INTRO!$B$11:$B$25,info!$B$5))</f>
        <v/>
      </c>
      <c r="F30" s="319"/>
      <c r="G30" s="281" t="str">
        <f>IF(COUNTBLANK($C$11:$C$25)=15,"",COUNTIFS($F$11:$F$25,info!$C$10,INTRO!$B$11:$B$25,info!$B$4))</f>
        <v/>
      </c>
      <c r="H30" s="68" t="str">
        <f>IF(COUNTBLANK($C$11:$C$25)=15,"",COUNTIFS($F$11:$F$25,info!$C$10,INTRO!$B$11:$B$25,info!$B$3))</f>
        <v/>
      </c>
    </row>
    <row r="31" spans="1:9" x14ac:dyDescent="0.45">
      <c r="B31" s="247"/>
      <c r="D31" s="35"/>
      <c r="E31" s="35"/>
      <c r="F31" s="35"/>
      <c r="G31" s="35"/>
    </row>
    <row r="32" spans="1:9" x14ac:dyDescent="0.45">
      <c r="B32" s="247"/>
      <c r="C32" s="314" t="s">
        <v>95</v>
      </c>
      <c r="D32" s="314"/>
      <c r="E32" s="157"/>
      <c r="F32" s="158"/>
      <c r="G32" s="79" t="str">
        <f>IF(COUNTBLANK($C$11:$C$25)=15,"",15-COUNTIFS($C$11:$C$25,""))</f>
        <v/>
      </c>
      <c r="H32" s="156" t="s">
        <v>51</v>
      </c>
    </row>
    <row r="33" spans="2:8" x14ac:dyDescent="0.45">
      <c r="B33" s="247"/>
      <c r="C33" s="314" t="s">
        <v>333</v>
      </c>
      <c r="D33" s="314"/>
      <c r="E33" s="157"/>
      <c r="F33" s="158"/>
      <c r="G33" s="79" t="str">
        <f>IF(COUNTBLANK($C$11:$C$25)=15,"",COUNTIF($D$11:$D$25,info!$F$10))</f>
        <v/>
      </c>
      <c r="H33" s="156" t="s">
        <v>51</v>
      </c>
    </row>
    <row r="34" spans="2:8" x14ac:dyDescent="0.45">
      <c r="C34" s="314" t="s">
        <v>417</v>
      </c>
      <c r="D34" s="314"/>
      <c r="E34" s="314"/>
      <c r="F34" s="310"/>
      <c r="G34" s="79" t="str">
        <f>IF(COUNTBLANK($C$11:$C$25)=15,"",COUNTIF($D$11:$D$25,info!$F$11))</f>
        <v/>
      </c>
      <c r="H34" s="156" t="s">
        <v>51</v>
      </c>
    </row>
    <row r="35" spans="2:8" x14ac:dyDescent="0.45">
      <c r="B35" s="247"/>
    </row>
    <row r="36" spans="2:8" x14ac:dyDescent="0.45">
      <c r="B36" s="247"/>
    </row>
    <row r="37" spans="2:8" x14ac:dyDescent="0.45">
      <c r="B37" s="247"/>
    </row>
    <row r="38" spans="2:8" x14ac:dyDescent="0.45">
      <c r="B38" s="247"/>
    </row>
    <row r="148" spans="1:3" x14ac:dyDescent="0.45">
      <c r="A148" s="247"/>
      <c r="B148" s="247"/>
      <c r="C148" s="247"/>
    </row>
    <row r="149" spans="1:3" x14ac:dyDescent="0.45">
      <c r="A149" s="247"/>
      <c r="B149" s="247"/>
      <c r="C149" s="247"/>
    </row>
    <row r="150" spans="1:3" x14ac:dyDescent="0.45">
      <c r="A150" s="247"/>
      <c r="B150" s="247"/>
      <c r="C150" s="247"/>
    </row>
    <row r="151" spans="1:3" x14ac:dyDescent="0.45">
      <c r="A151" s="247"/>
      <c r="B151" s="247"/>
      <c r="C151" s="247"/>
    </row>
    <row r="152" spans="1:3" x14ac:dyDescent="0.45">
      <c r="A152" s="247"/>
      <c r="B152" s="247"/>
      <c r="C152" s="247"/>
    </row>
    <row r="153" spans="1:3" x14ac:dyDescent="0.45">
      <c r="A153" s="247"/>
      <c r="B153" s="247"/>
      <c r="C153" s="247"/>
    </row>
    <row r="154" spans="1:3" x14ac:dyDescent="0.45">
      <c r="A154" s="247"/>
      <c r="B154" s="247"/>
      <c r="C154" s="247"/>
    </row>
    <row r="155" spans="1:3" x14ac:dyDescent="0.45">
      <c r="A155" s="247"/>
      <c r="B155" s="247"/>
      <c r="C155" s="247"/>
    </row>
    <row r="156" spans="1:3" x14ac:dyDescent="0.45">
      <c r="A156" s="247"/>
      <c r="B156" s="247"/>
      <c r="C156" s="247"/>
    </row>
  </sheetData>
  <sheetProtection algorithmName="SHA-512" hashValue="ikW/K4BUIqzXnvOsBoACrXBDGi6e7qSZrUDBV3nDYA9kcbR+iOZV+k76jlKpcWQ141N24eKvHnpFJ9hnqJ/wmg==" saltValue="p2+fMYl5eZogDWR/+T7HdA==" spinCount="100000" sheet="1" objects="1" scenarios="1"/>
  <dataConsolidate/>
  <mergeCells count="22">
    <mergeCell ref="F4:H4"/>
    <mergeCell ref="C8:D8"/>
    <mergeCell ref="C7:D7"/>
    <mergeCell ref="F5:H5"/>
    <mergeCell ref="F6:H6"/>
    <mergeCell ref="F7:H7"/>
    <mergeCell ref="C34:E34"/>
    <mergeCell ref="G2:H2"/>
    <mergeCell ref="C2:D2"/>
    <mergeCell ref="C32:D32"/>
    <mergeCell ref="C33:D33"/>
    <mergeCell ref="B26:F26"/>
    <mergeCell ref="E30:F30"/>
    <mergeCell ref="E29:F29"/>
    <mergeCell ref="E27:F27"/>
    <mergeCell ref="E28:F28"/>
    <mergeCell ref="C3:D3"/>
    <mergeCell ref="C5:D5"/>
    <mergeCell ref="C6:D6"/>
    <mergeCell ref="E3:F3"/>
    <mergeCell ref="F8:H8"/>
    <mergeCell ref="G3:H3"/>
  </mergeCells>
  <conditionalFormatting sqref="C22:C25">
    <cfRule type="containsBlanks" dxfId="230" priority="118">
      <formula>LEN(TRIM(C22))=0</formula>
    </cfRule>
    <cfRule type="containsBlanks" dxfId="229" priority="126">
      <formula>LEN(TRIM(C22))=0</formula>
    </cfRule>
  </conditionalFormatting>
  <conditionalFormatting sqref="G28:H30 G32:G33 A11:A25">
    <cfRule type="containsBlanks" dxfId="228" priority="123">
      <formula>LEN(TRIM(A11))=0</formula>
    </cfRule>
  </conditionalFormatting>
  <conditionalFormatting sqref="B11:B25">
    <cfRule type="cellIs" dxfId="227" priority="119" operator="equal">
      <formula>"เลือก"</formula>
    </cfRule>
  </conditionalFormatting>
  <conditionalFormatting sqref="D1 C5">
    <cfRule type="containsBlanks" dxfId="226" priority="110">
      <formula>LEN(TRIM(C1))=0</formula>
    </cfRule>
  </conditionalFormatting>
  <conditionalFormatting sqref="D28:D30">
    <cfRule type="containsBlanks" dxfId="225" priority="106">
      <formula>LEN(TRIM(D28))=0</formula>
    </cfRule>
  </conditionalFormatting>
  <conditionalFormatting sqref="C8">
    <cfRule type="containsBlanks" dxfId="224" priority="103">
      <formula>LEN(TRIM(C8))=0</formula>
    </cfRule>
  </conditionalFormatting>
  <conditionalFormatting sqref="C2:D2">
    <cfRule type="cellIs" dxfId="223" priority="92" operator="equal">
      <formula>"เลือกหน่วยงาน"</formula>
    </cfRule>
    <cfRule type="containsBlanks" dxfId="222" priority="139">
      <formula>LEN(TRIM(C2))=0</formula>
    </cfRule>
  </conditionalFormatting>
  <conditionalFormatting sqref="G2">
    <cfRule type="containsBlanks" dxfId="221" priority="100">
      <formula>LEN(TRIM(G2))=0</formula>
    </cfRule>
  </conditionalFormatting>
  <conditionalFormatting sqref="F11:F25 D11:D25">
    <cfRule type="cellIs" dxfId="220" priority="98" operator="equal">
      <formula>"เลือก"</formula>
    </cfRule>
  </conditionalFormatting>
  <conditionalFormatting sqref="C3">
    <cfRule type="containsBlanks" dxfId="219" priority="95">
      <formula>LEN(TRIM(C3))=0</formula>
    </cfRule>
  </conditionalFormatting>
  <conditionalFormatting sqref="H1">
    <cfRule type="containsBlanks" dxfId="218" priority="94">
      <formula>LEN(TRIM(H1))=0</formula>
    </cfRule>
  </conditionalFormatting>
  <conditionalFormatting sqref="H16:H25">
    <cfRule type="containsBlanks" dxfId="217" priority="89">
      <formula>LEN(TRIM(H16))=0</formula>
    </cfRule>
  </conditionalFormatting>
  <conditionalFormatting sqref="I16:I25">
    <cfRule type="containsBlanks" dxfId="216" priority="88">
      <formula>LEN(TRIM(I16))=0</formula>
    </cfRule>
  </conditionalFormatting>
  <conditionalFormatting sqref="G17:G25">
    <cfRule type="containsBlanks" dxfId="215" priority="87">
      <formula>LEN(TRIM(G17))=0</formula>
    </cfRule>
  </conditionalFormatting>
  <conditionalFormatting sqref="E16:E25">
    <cfRule type="containsBlanks" dxfId="214" priority="85">
      <formula>LEN(TRIM(E16))=0</formula>
    </cfRule>
    <cfRule type="containsBlanks" dxfId="213" priority="86">
      <formula>LEN(TRIM(E16))=0</formula>
    </cfRule>
  </conditionalFormatting>
  <conditionalFormatting sqref="G3">
    <cfRule type="containsBlanks" dxfId="212" priority="84">
      <formula>LEN(TRIM(G3))=0</formula>
    </cfRule>
  </conditionalFormatting>
  <conditionalFormatting sqref="F5">
    <cfRule type="containsBlanks" dxfId="211" priority="77">
      <formula>LEN(TRIM(F5))=0</formula>
    </cfRule>
  </conditionalFormatting>
  <conditionalFormatting sqref="C6">
    <cfRule type="containsBlanks" dxfId="210" priority="79">
      <formula>LEN(TRIM(C6))=0</formula>
    </cfRule>
  </conditionalFormatting>
  <conditionalFormatting sqref="C7">
    <cfRule type="containsBlanks" dxfId="209" priority="78">
      <formula>LEN(TRIM(C7))=0</formula>
    </cfRule>
  </conditionalFormatting>
  <conditionalFormatting sqref="F6:F7">
    <cfRule type="containsBlanks" dxfId="208" priority="76">
      <formula>LEN(TRIM(F6))=0</formula>
    </cfRule>
  </conditionalFormatting>
  <conditionalFormatting sqref="F4">
    <cfRule type="containsBlanks" dxfId="207" priority="72">
      <formula>LEN(TRIM(F4))=0</formula>
    </cfRule>
  </conditionalFormatting>
  <conditionalFormatting sqref="G16">
    <cfRule type="containsBlanks" dxfId="206" priority="68">
      <formula>LEN(TRIM(G16))=0</formula>
    </cfRule>
  </conditionalFormatting>
  <conditionalFormatting sqref="E28:E30">
    <cfRule type="containsBlanks" dxfId="205" priority="59">
      <formula>LEN(TRIM(E28))=0</formula>
    </cfRule>
  </conditionalFormatting>
  <conditionalFormatting sqref="F8">
    <cfRule type="containsBlanks" dxfId="204" priority="58">
      <formula>LEN(TRIM(F8))=0</formula>
    </cfRule>
  </conditionalFormatting>
  <conditionalFormatting sqref="G15">
    <cfRule type="containsBlanks" dxfId="199" priority="39">
      <formula>LEN(TRIM(G15))=0</formula>
    </cfRule>
  </conditionalFormatting>
  <conditionalFormatting sqref="H15">
    <cfRule type="containsBlanks" dxfId="198" priority="40">
      <formula>LEN(TRIM(H15))=0</formula>
    </cfRule>
  </conditionalFormatting>
  <conditionalFormatting sqref="I15">
    <cfRule type="containsBlanks" dxfId="197" priority="34">
      <formula>LEN(TRIM(I15))=0</formula>
    </cfRule>
  </conditionalFormatting>
  <conditionalFormatting sqref="G34">
    <cfRule type="containsBlanks" dxfId="196" priority="32">
      <formula>LEN(TRIM(G34))=0</formula>
    </cfRule>
  </conditionalFormatting>
  <conditionalFormatting sqref="G11:G14">
    <cfRule type="containsBlanks" dxfId="189" priority="25">
      <formula>LEN(TRIM(G11))=0</formula>
    </cfRule>
  </conditionalFormatting>
  <conditionalFormatting sqref="H11:H14">
    <cfRule type="containsBlanks" dxfId="188" priority="24">
      <formula>LEN(TRIM(H11))=0</formula>
    </cfRule>
  </conditionalFormatting>
  <conditionalFormatting sqref="I11:I14">
    <cfRule type="containsBlanks" dxfId="187" priority="23">
      <formula>LEN(TRIM(I11))=0</formula>
    </cfRule>
  </conditionalFormatting>
  <conditionalFormatting sqref="E15">
    <cfRule type="containsBlanks" dxfId="9" priority="11">
      <formula>LEN(TRIM(E15))=0</formula>
    </cfRule>
  </conditionalFormatting>
  <conditionalFormatting sqref="E15">
    <cfRule type="containsBlanks" dxfId="8" priority="12">
      <formula>LEN(TRIM(E15))=0</formula>
    </cfRule>
  </conditionalFormatting>
  <conditionalFormatting sqref="E11:E14">
    <cfRule type="containsBlanks" dxfId="7" priority="7">
      <formula>LEN(TRIM(E11))=0</formula>
    </cfRule>
    <cfRule type="containsBlanks" dxfId="6" priority="8">
      <formula>LEN(TRIM(E11))=0</formula>
    </cfRule>
  </conditionalFormatting>
  <conditionalFormatting sqref="C16:C21">
    <cfRule type="containsBlanks" dxfId="5" priority="5">
      <formula>LEN(TRIM(C16))=0</formula>
    </cfRule>
    <cfRule type="containsBlanks" dxfId="4" priority="6">
      <formula>LEN(TRIM(C16))=0</formula>
    </cfRule>
  </conditionalFormatting>
  <conditionalFormatting sqref="C11:C12">
    <cfRule type="containsBlanks" dxfId="3" priority="3">
      <formula>LEN(TRIM(C11))=0</formula>
    </cfRule>
    <cfRule type="containsBlanks" dxfId="2" priority="4">
      <formula>LEN(TRIM(C11))=0</formula>
    </cfRule>
  </conditionalFormatting>
  <conditionalFormatting sqref="C13:C15">
    <cfRule type="containsBlanks" dxfId="1" priority="1">
      <formula>LEN(TRIM(C13))=0</formula>
    </cfRule>
    <cfRule type="containsBlanks" dxfId="0" priority="2">
      <formula>LEN(TRIM(C13))=0</formula>
    </cfRule>
  </conditionalFormatting>
  <dataValidations count="1">
    <dataValidation type="list" allowBlank="1" showInputMessage="1" showErrorMessage="1" sqref="C3:D3">
      <formula1>INDIRECT($C$2)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5" orientation="landscape" r:id="rId1"/>
  <headerFooter>
    <oddFooter>&amp;L&amp;"Browallia New,ธรรมดา"&amp;12ข้อมูลหลักสูตร&amp;R&amp;"Browallia New,ธรรมดา"&amp;12หน้าที่ 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4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info!$B$3:$B$7</xm:f>
          </x14:formula1>
          <xm:sqref>B11:B25</xm:sqref>
        </x14:dataValidation>
        <x14:dataValidation type="list" allowBlank="1" showInputMessage="1" showErrorMessage="1">
          <x14:formula1>
            <xm:f>info!$C$10:$C$13</xm:f>
          </x14:formula1>
          <xm:sqref>F11:F25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  <x14:dataValidation type="list" allowBlank="1" showInputMessage="1" showErrorMessage="1">
          <x14:formula1>
            <xm:f>info!$C$15:$C$18</xm:f>
          </x14:formula1>
          <xm:sqref>G2</xm:sqref>
        </x14:dataValidation>
        <x14:dataValidation type="list" allowBlank="1" showInputMessage="1" showErrorMessage="1">
          <x14:formula1>
            <xm:f>info!$A$107:$A$111</xm:f>
          </x14:formula1>
          <xm:sqref>F8:H8</xm:sqref>
        </x14:dataValidation>
        <x14:dataValidation type="list" allowBlank="1" showInputMessage="1" showErrorMessage="1">
          <x14:formula1>
            <xm:f>info!$A$186:$A$194</xm:f>
          </x14:formula1>
          <xm:sqref>C2:D2</xm:sqref>
        </x14:dataValidation>
        <x14:dataValidation type="list" allowBlank="1" showInputMessage="1" showErrorMessage="1">
          <x14:formula1>
            <xm:f>info!$F$9:$F$13</xm:f>
          </x14:formula1>
          <xm:sqref>D11:D25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showGridLines="0" zoomScale="115" zoomScaleNormal="115" workbookViewId="0">
      <pane ySplit="3" topLeftCell="A109" activePane="bottomLeft" state="frozen"/>
      <selection activeCell="J12" sqref="J12"/>
      <selection pane="bottomLeft" activeCell="C104" sqref="C104"/>
    </sheetView>
  </sheetViews>
  <sheetFormatPr defaultColWidth="9" defaultRowHeight="20.25" x14ac:dyDescent="0.4"/>
  <cols>
    <col min="1" max="1" width="5.875" style="14" customWidth="1"/>
    <col min="2" max="2" width="43" style="15" customWidth="1"/>
    <col min="3" max="3" width="14.125" style="9" customWidth="1"/>
    <col min="4" max="4" width="5.875" style="9" customWidth="1"/>
    <col min="5" max="5" width="37.625" style="77" customWidth="1"/>
    <col min="6" max="6" width="2.25" style="9" customWidth="1"/>
    <col min="7" max="7" width="9.75" style="9" customWidth="1"/>
    <col min="8" max="8" width="10.25" style="9" customWidth="1"/>
    <col min="9" max="9" width="26.75" style="9" customWidth="1"/>
    <col min="10" max="10" width="17.75" style="9" customWidth="1"/>
    <col min="11" max="11" width="21.125" style="9" customWidth="1"/>
    <col min="12" max="16384" width="9" style="9"/>
  </cols>
  <sheetData>
    <row r="1" spans="1:8" ht="21" x14ac:dyDescent="0.4">
      <c r="A1" s="51" t="s">
        <v>108</v>
      </c>
    </row>
    <row r="2" spans="1:8" ht="21" x14ac:dyDescent="0.4">
      <c r="A2" s="51"/>
      <c r="B2" s="15" t="s">
        <v>109</v>
      </c>
    </row>
    <row r="3" spans="1:8" ht="23.25" customHeight="1" x14ac:dyDescent="0.4">
      <c r="A3" s="52" t="s">
        <v>19</v>
      </c>
      <c r="B3" s="52" t="s">
        <v>78</v>
      </c>
      <c r="C3" s="52" t="s">
        <v>1</v>
      </c>
      <c r="D3" s="52" t="s">
        <v>77</v>
      </c>
      <c r="E3" s="52" t="s">
        <v>185</v>
      </c>
    </row>
    <row r="4" spans="1:8" ht="21" customHeight="1" x14ac:dyDescent="0.4">
      <c r="A4" s="332" t="s">
        <v>44</v>
      </c>
      <c r="B4" s="333"/>
      <c r="C4" s="333"/>
      <c r="D4" s="333"/>
      <c r="E4" s="334"/>
    </row>
    <row r="5" spans="1:8" ht="18.75" customHeight="1" x14ac:dyDescent="0.4">
      <c r="A5" s="17">
        <v>1</v>
      </c>
      <c r="B5" s="10" t="s">
        <v>46</v>
      </c>
      <c r="C5" s="112">
        <v>0</v>
      </c>
      <c r="D5" s="17" t="s">
        <v>51</v>
      </c>
      <c r="E5" s="239"/>
    </row>
    <row r="6" spans="1:8" x14ac:dyDescent="0.4">
      <c r="A6" s="18">
        <v>2</v>
      </c>
      <c r="B6" s="11" t="s">
        <v>45</v>
      </c>
      <c r="C6" s="112">
        <v>0</v>
      </c>
      <c r="D6" s="18" t="s">
        <v>51</v>
      </c>
      <c r="E6" s="240"/>
    </row>
    <row r="7" spans="1:8" x14ac:dyDescent="0.4">
      <c r="A7" s="18">
        <v>3</v>
      </c>
      <c r="B7" s="11" t="s">
        <v>287</v>
      </c>
      <c r="C7" s="299">
        <v>0</v>
      </c>
      <c r="D7" s="18" t="s">
        <v>63</v>
      </c>
      <c r="E7" s="240"/>
      <c r="F7" s="242"/>
    </row>
    <row r="8" spans="1:8" x14ac:dyDescent="0.4">
      <c r="A8" s="19">
        <v>4</v>
      </c>
      <c r="B8" s="12" t="s">
        <v>47</v>
      </c>
      <c r="C8" s="58">
        <f>IF(COUNTBLANK(C5:C6)=2,"",IF(ISERROR(C6*100/C5),,C6*100/C5))</f>
        <v>0</v>
      </c>
      <c r="D8" s="23" t="s">
        <v>243</v>
      </c>
      <c r="E8" s="241"/>
    </row>
    <row r="9" spans="1:8" ht="21" x14ac:dyDescent="0.4">
      <c r="A9" s="335" t="s">
        <v>48</v>
      </c>
      <c r="B9" s="336"/>
      <c r="C9" s="336"/>
      <c r="D9" s="336"/>
      <c r="E9" s="337"/>
      <c r="G9"/>
      <c r="H9"/>
    </row>
    <row r="10" spans="1:8" x14ac:dyDescent="0.4">
      <c r="A10" s="17">
        <v>5</v>
      </c>
      <c r="B10" s="11" t="s">
        <v>50</v>
      </c>
      <c r="C10" s="112"/>
      <c r="D10" s="17" t="s">
        <v>51</v>
      </c>
      <c r="E10" s="62"/>
      <c r="G10"/>
      <c r="H10"/>
    </row>
    <row r="11" spans="1:8" x14ac:dyDescent="0.4">
      <c r="A11" s="89">
        <v>6</v>
      </c>
      <c r="B11" s="87" t="s">
        <v>49</v>
      </c>
      <c r="C11" s="112"/>
      <c r="D11" s="89" t="s">
        <v>51</v>
      </c>
      <c r="E11" s="187"/>
      <c r="G11"/>
      <c r="H11"/>
    </row>
    <row r="12" spans="1:8" x14ac:dyDescent="0.4">
      <c r="A12" s="89">
        <v>7</v>
      </c>
      <c r="B12" s="87" t="s">
        <v>266</v>
      </c>
      <c r="C12" s="112"/>
      <c r="D12" s="89" t="s">
        <v>51</v>
      </c>
      <c r="E12" s="187"/>
      <c r="G12"/>
      <c r="H12"/>
    </row>
    <row r="13" spans="1:8" x14ac:dyDescent="0.4">
      <c r="A13" s="89">
        <v>8</v>
      </c>
      <c r="B13" s="87" t="s">
        <v>267</v>
      </c>
      <c r="C13" s="112">
        <f>C10-C11-C12</f>
        <v>0</v>
      </c>
      <c r="D13" s="89" t="s">
        <v>51</v>
      </c>
      <c r="E13" s="187"/>
      <c r="G13"/>
      <c r="H13"/>
    </row>
    <row r="14" spans="1:8" ht="40.5" x14ac:dyDescent="0.4">
      <c r="A14" s="89">
        <v>9</v>
      </c>
      <c r="B14" s="290" t="s">
        <v>52</v>
      </c>
      <c r="C14" s="59" t="str">
        <f>IF(COUNTBLANK(C10:C11)=2,"",IF(ISERROR((C11*100)/(C10-C12)),,(C11*100)/(C10-C12)))</f>
        <v/>
      </c>
      <c r="D14" s="18" t="s">
        <v>243</v>
      </c>
      <c r="E14" s="63"/>
    </row>
    <row r="15" spans="1:8" ht="40.5" x14ac:dyDescent="0.4">
      <c r="A15" s="89">
        <v>10</v>
      </c>
      <c r="B15" s="96" t="s">
        <v>247</v>
      </c>
      <c r="C15" s="97">
        <f>IF(AND(C5="",C10=""),"",IF(ISERROR(C10*100/C5),,C10*100/C5))</f>
        <v>0</v>
      </c>
      <c r="D15" s="95" t="s">
        <v>243</v>
      </c>
      <c r="E15" s="101"/>
    </row>
    <row r="16" spans="1:8" ht="21" x14ac:dyDescent="0.4">
      <c r="A16" s="338" t="s">
        <v>53</v>
      </c>
      <c r="B16" s="339"/>
      <c r="C16" s="339"/>
      <c r="D16" s="339"/>
      <c r="E16" s="340"/>
    </row>
    <row r="17" spans="1:5" x14ac:dyDescent="0.4">
      <c r="A17" s="98">
        <v>11</v>
      </c>
      <c r="B17" s="99" t="s">
        <v>59</v>
      </c>
      <c r="C17" s="112"/>
      <c r="D17" s="98" t="s">
        <v>51</v>
      </c>
      <c r="E17" s="100"/>
    </row>
    <row r="18" spans="1:5" ht="20.25" customHeight="1" x14ac:dyDescent="0.4">
      <c r="A18" s="338" t="s">
        <v>89</v>
      </c>
      <c r="B18" s="339"/>
      <c r="C18" s="339"/>
      <c r="D18" s="339"/>
      <c r="E18" s="340"/>
    </row>
    <row r="19" spans="1:5" ht="40.5" x14ac:dyDescent="0.4">
      <c r="A19" s="17">
        <v>12</v>
      </c>
      <c r="B19" s="10" t="s">
        <v>172</v>
      </c>
      <c r="C19" s="112"/>
      <c r="D19" s="18" t="s">
        <v>245</v>
      </c>
      <c r="E19" s="112"/>
    </row>
    <row r="20" spans="1:5" ht="40.5" x14ac:dyDescent="0.4">
      <c r="A20" s="18">
        <v>13</v>
      </c>
      <c r="B20" s="11" t="s">
        <v>174</v>
      </c>
      <c r="C20" s="112"/>
      <c r="D20" s="18" t="s">
        <v>245</v>
      </c>
      <c r="E20" s="113"/>
    </row>
    <row r="21" spans="1:5" ht="40.5" x14ac:dyDescent="0.4">
      <c r="A21" s="17">
        <v>14</v>
      </c>
      <c r="B21" s="11" t="s">
        <v>173</v>
      </c>
      <c r="C21" s="112"/>
      <c r="D21" s="18" t="s">
        <v>245</v>
      </c>
      <c r="E21" s="113"/>
    </row>
    <row r="22" spans="1:5" ht="40.5" x14ac:dyDescent="0.4">
      <c r="A22" s="18">
        <v>15</v>
      </c>
      <c r="B22" s="11" t="s">
        <v>223</v>
      </c>
      <c r="C22" s="112"/>
      <c r="D22" s="18" t="s">
        <v>245</v>
      </c>
      <c r="E22" s="113"/>
    </row>
    <row r="23" spans="1:5" x14ac:dyDescent="0.4">
      <c r="A23" s="17">
        <v>16</v>
      </c>
      <c r="B23" s="11" t="s">
        <v>182</v>
      </c>
      <c r="C23" s="112"/>
      <c r="D23" s="18" t="s">
        <v>245</v>
      </c>
      <c r="E23" s="113"/>
    </row>
    <row r="24" spans="1:5" ht="40.5" x14ac:dyDescent="0.4">
      <c r="A24" s="18">
        <v>17</v>
      </c>
      <c r="B24" s="11" t="s">
        <v>337</v>
      </c>
      <c r="C24" s="112"/>
      <c r="D24" s="18" t="s">
        <v>245</v>
      </c>
      <c r="E24" s="22"/>
    </row>
    <row r="25" spans="1:5" ht="40.5" x14ac:dyDescent="0.4">
      <c r="A25" s="17">
        <v>18</v>
      </c>
      <c r="B25" s="11" t="s">
        <v>183</v>
      </c>
      <c r="C25" s="112"/>
      <c r="D25" s="18" t="s">
        <v>245</v>
      </c>
      <c r="E25" s="22"/>
    </row>
    <row r="26" spans="1:5" ht="40.5" x14ac:dyDescent="0.4">
      <c r="A26" s="18">
        <v>19</v>
      </c>
      <c r="B26" s="11" t="s">
        <v>338</v>
      </c>
      <c r="C26" s="112"/>
      <c r="D26" s="18" t="s">
        <v>245</v>
      </c>
      <c r="E26" s="22"/>
    </row>
    <row r="27" spans="1:5" ht="40.5" x14ac:dyDescent="0.4">
      <c r="A27" s="17">
        <v>20</v>
      </c>
      <c r="B27" s="11" t="s">
        <v>184</v>
      </c>
      <c r="C27" s="112"/>
      <c r="D27" s="18" t="s">
        <v>245</v>
      </c>
      <c r="E27" s="22"/>
    </row>
    <row r="28" spans="1:5" x14ac:dyDescent="0.4">
      <c r="A28" s="18">
        <v>21</v>
      </c>
      <c r="B28" s="11" t="s">
        <v>96</v>
      </c>
      <c r="C28" s="112"/>
      <c r="D28" s="18" t="s">
        <v>245</v>
      </c>
      <c r="E28" s="22"/>
    </row>
    <row r="29" spans="1:5" x14ac:dyDescent="0.4">
      <c r="A29" s="17">
        <v>22</v>
      </c>
      <c r="B29" s="12" t="s">
        <v>81</v>
      </c>
      <c r="C29" s="56" t="str">
        <f>IF(COUNTBLANK(C19:C28)=10,"",(C19*0.1)+(C20*0.2)+(SUM(C21:C23)*0.4)+(C24*0.6)+(SUM(C25:C26)*0.8)+SUM(C27:C28))</f>
        <v/>
      </c>
      <c r="D29" s="18" t="s">
        <v>244</v>
      </c>
      <c r="E29" s="102"/>
    </row>
    <row r="30" spans="1:5" ht="20.25" customHeight="1" x14ac:dyDescent="0.4">
      <c r="A30" s="338" t="s">
        <v>90</v>
      </c>
      <c r="B30" s="339"/>
      <c r="C30" s="339"/>
      <c r="D30" s="339"/>
      <c r="E30" s="340"/>
    </row>
    <row r="31" spans="1:5" ht="40.5" x14ac:dyDescent="0.4">
      <c r="A31" s="17">
        <v>23</v>
      </c>
      <c r="B31" s="10" t="s">
        <v>54</v>
      </c>
      <c r="C31" s="112"/>
      <c r="D31" s="17" t="s">
        <v>245</v>
      </c>
      <c r="E31" s="21"/>
    </row>
    <row r="32" spans="1:5" x14ac:dyDescent="0.4">
      <c r="A32" s="17">
        <v>24</v>
      </c>
      <c r="B32" s="11" t="s">
        <v>55</v>
      </c>
      <c r="C32" s="112"/>
      <c r="D32" s="17" t="s">
        <v>245</v>
      </c>
      <c r="E32" s="22"/>
    </row>
    <row r="33" spans="1:5" x14ac:dyDescent="0.4">
      <c r="A33" s="17">
        <v>25</v>
      </c>
      <c r="B33" s="11" t="s">
        <v>56</v>
      </c>
      <c r="C33" s="112"/>
      <c r="D33" s="17" t="s">
        <v>245</v>
      </c>
      <c r="E33" s="22"/>
    </row>
    <row r="34" spans="1:5" ht="40.5" x14ac:dyDescent="0.4">
      <c r="A34" s="17">
        <v>26</v>
      </c>
      <c r="B34" s="11" t="s">
        <v>57</v>
      </c>
      <c r="C34" s="112"/>
      <c r="D34" s="17" t="s">
        <v>245</v>
      </c>
      <c r="E34" s="22"/>
    </row>
    <row r="35" spans="1:5" ht="40.5" x14ac:dyDescent="0.4">
      <c r="A35" s="17">
        <v>27</v>
      </c>
      <c r="B35" s="11" t="s">
        <v>58</v>
      </c>
      <c r="C35" s="112"/>
      <c r="D35" s="17" t="s">
        <v>245</v>
      </c>
      <c r="E35" s="22"/>
    </row>
    <row r="36" spans="1:5" x14ac:dyDescent="0.4">
      <c r="A36" s="17">
        <v>28</v>
      </c>
      <c r="B36" s="11" t="s">
        <v>80</v>
      </c>
      <c r="C36" s="55" t="str">
        <f>IF(COUNTBLANK(C31:C35)=5,"",C31*0.2+C32*0.4+C33*0.6+C34*0.8+C35)</f>
        <v/>
      </c>
      <c r="D36" s="17" t="s">
        <v>244</v>
      </c>
      <c r="E36" s="22"/>
    </row>
    <row r="37" spans="1:5" x14ac:dyDescent="0.4">
      <c r="A37" s="17">
        <v>29</v>
      </c>
      <c r="B37" s="13" t="s">
        <v>82</v>
      </c>
      <c r="C37" s="56" t="str">
        <f>IF(AND(C29="",C36=""),"",SUM(C29,C36))</f>
        <v/>
      </c>
      <c r="D37" s="17" t="s">
        <v>244</v>
      </c>
      <c r="E37" s="102"/>
    </row>
    <row r="38" spans="1:5" ht="21" x14ac:dyDescent="0.4">
      <c r="A38" s="338" t="s">
        <v>87</v>
      </c>
      <c r="B38" s="339"/>
      <c r="C38" s="339"/>
      <c r="D38" s="339"/>
      <c r="E38" s="340"/>
    </row>
    <row r="39" spans="1:5" x14ac:dyDescent="0.4">
      <c r="A39" s="20">
        <v>30</v>
      </c>
      <c r="B39" s="26" t="s">
        <v>60</v>
      </c>
      <c r="C39" s="112">
        <v>0</v>
      </c>
      <c r="D39" s="20" t="s">
        <v>51</v>
      </c>
      <c r="E39" s="60"/>
    </row>
    <row r="40" spans="1:5" ht="20.25" customHeight="1" x14ac:dyDescent="0.4">
      <c r="A40" s="341" t="s">
        <v>79</v>
      </c>
      <c r="B40" s="342"/>
      <c r="C40" s="342"/>
      <c r="D40" s="342"/>
      <c r="E40" s="343"/>
    </row>
    <row r="41" spans="1:5" ht="40.5" x14ac:dyDescent="0.4">
      <c r="A41" s="89">
        <v>31</v>
      </c>
      <c r="B41" s="87" t="s">
        <v>62</v>
      </c>
      <c r="C41" s="112"/>
      <c r="D41" s="89" t="s">
        <v>245</v>
      </c>
      <c r="E41" s="29"/>
    </row>
    <row r="42" spans="1:5" ht="40.5" x14ac:dyDescent="0.4">
      <c r="A42" s="18">
        <v>32</v>
      </c>
      <c r="B42" s="11" t="s">
        <v>178</v>
      </c>
      <c r="C42" s="112"/>
      <c r="D42" s="89" t="s">
        <v>245</v>
      </c>
      <c r="E42" s="30"/>
    </row>
    <row r="43" spans="1:5" ht="60.75" x14ac:dyDescent="0.4">
      <c r="A43" s="89">
        <v>33</v>
      </c>
      <c r="B43" s="11" t="s">
        <v>179</v>
      </c>
      <c r="C43" s="112"/>
      <c r="D43" s="89" t="s">
        <v>245</v>
      </c>
      <c r="E43" s="30"/>
    </row>
    <row r="44" spans="1:5" x14ac:dyDescent="0.4">
      <c r="A44" s="18">
        <v>34</v>
      </c>
      <c r="B44" s="11" t="s">
        <v>61</v>
      </c>
      <c r="C44" s="112"/>
      <c r="D44" s="89" t="s">
        <v>245</v>
      </c>
      <c r="E44" s="30"/>
    </row>
    <row r="45" spans="1:5" ht="40.5" x14ac:dyDescent="0.4">
      <c r="A45" s="89">
        <v>35</v>
      </c>
      <c r="B45" s="11" t="s">
        <v>365</v>
      </c>
      <c r="C45" s="112"/>
      <c r="D45" s="89" t="s">
        <v>245</v>
      </c>
      <c r="E45" s="30"/>
    </row>
    <row r="46" spans="1:5" ht="60.75" x14ac:dyDescent="0.4">
      <c r="A46" s="18">
        <v>36</v>
      </c>
      <c r="B46" s="11" t="s">
        <v>366</v>
      </c>
      <c r="C46" s="112"/>
      <c r="D46" s="89" t="s">
        <v>245</v>
      </c>
      <c r="E46" s="30"/>
    </row>
    <row r="47" spans="1:5" ht="40.5" x14ac:dyDescent="0.4">
      <c r="A47" s="89">
        <v>37</v>
      </c>
      <c r="B47" s="11" t="s">
        <v>180</v>
      </c>
      <c r="C47" s="112"/>
      <c r="D47" s="89" t="s">
        <v>245</v>
      </c>
      <c r="E47" s="30"/>
    </row>
    <row r="48" spans="1:5" ht="40.5" x14ac:dyDescent="0.4">
      <c r="A48" s="18">
        <v>38</v>
      </c>
      <c r="B48" s="11" t="s">
        <v>181</v>
      </c>
      <c r="C48" s="112"/>
      <c r="D48" s="89" t="s">
        <v>245</v>
      </c>
      <c r="E48" s="30"/>
    </row>
    <row r="49" spans="1:5" x14ac:dyDescent="0.4">
      <c r="A49" s="89">
        <v>39</v>
      </c>
      <c r="B49" s="11" t="s">
        <v>177</v>
      </c>
      <c r="C49" s="112"/>
      <c r="D49" s="89" t="s">
        <v>245</v>
      </c>
      <c r="E49" s="30"/>
    </row>
    <row r="50" spans="1:5" x14ac:dyDescent="0.4">
      <c r="A50" s="18">
        <v>40</v>
      </c>
      <c r="B50" s="12" t="s">
        <v>81</v>
      </c>
      <c r="C50" s="57" t="str">
        <f>IF(COUNTBLANK(C41:C49)=9,"",(C41*0.2)+(SUM(C42:C44)*0.4)+(C45*0.6)+(SUM(C46:C47)*0.8)+C48+C49)</f>
        <v/>
      </c>
      <c r="D50" s="89" t="s">
        <v>244</v>
      </c>
      <c r="E50" s="103"/>
    </row>
    <row r="51" spans="1:5" ht="21" customHeight="1" x14ac:dyDescent="0.4">
      <c r="A51" s="344" t="s">
        <v>91</v>
      </c>
      <c r="B51" s="345"/>
      <c r="C51" s="345"/>
      <c r="D51" s="345"/>
      <c r="E51" s="346"/>
    </row>
    <row r="52" spans="1:5" ht="40.5" x14ac:dyDescent="0.4">
      <c r="A52" s="17">
        <v>41</v>
      </c>
      <c r="B52" s="10" t="s">
        <v>163</v>
      </c>
      <c r="C52" s="112"/>
      <c r="D52" s="17" t="s">
        <v>245</v>
      </c>
      <c r="E52" s="21"/>
    </row>
    <row r="53" spans="1:5" x14ac:dyDescent="0.4">
      <c r="A53" s="18">
        <v>42</v>
      </c>
      <c r="B53" s="11" t="s">
        <v>55</v>
      </c>
      <c r="C53" s="112"/>
      <c r="D53" s="17" t="s">
        <v>245</v>
      </c>
      <c r="E53" s="22"/>
    </row>
    <row r="54" spans="1:5" x14ac:dyDescent="0.4">
      <c r="A54" s="17">
        <v>43</v>
      </c>
      <c r="B54" s="11" t="s">
        <v>164</v>
      </c>
      <c r="C54" s="112"/>
      <c r="D54" s="17" t="s">
        <v>245</v>
      </c>
      <c r="E54" s="22"/>
    </row>
    <row r="55" spans="1:5" ht="40.5" x14ac:dyDescent="0.4">
      <c r="A55" s="17">
        <v>44</v>
      </c>
      <c r="B55" s="11" t="s">
        <v>57</v>
      </c>
      <c r="C55" s="112"/>
      <c r="D55" s="17" t="s">
        <v>245</v>
      </c>
      <c r="E55" s="22"/>
    </row>
    <row r="56" spans="1:5" ht="40.5" x14ac:dyDescent="0.4">
      <c r="A56" s="18">
        <v>45</v>
      </c>
      <c r="B56" s="11" t="s">
        <v>165</v>
      </c>
      <c r="C56" s="112"/>
      <c r="D56" s="17" t="s">
        <v>245</v>
      </c>
      <c r="E56" s="22"/>
    </row>
    <row r="57" spans="1:5" x14ac:dyDescent="0.4">
      <c r="A57" s="17">
        <v>46</v>
      </c>
      <c r="B57" s="11" t="s">
        <v>81</v>
      </c>
      <c r="C57" s="55" t="str">
        <f>IF(COUNTBLANK(C52:C56)=5,"",C52*0.2+C53*0.4+C54*0.6+C55*0.8+C56)</f>
        <v/>
      </c>
      <c r="D57" s="17" t="s">
        <v>244</v>
      </c>
      <c r="E57" s="105"/>
    </row>
    <row r="58" spans="1:5" x14ac:dyDescent="0.4">
      <c r="A58" s="17">
        <v>47</v>
      </c>
      <c r="B58" s="13" t="s">
        <v>82</v>
      </c>
      <c r="C58" s="56" t="str">
        <f>IF(AND(C50="",C57=""),"",SUM(C50,C57))</f>
        <v/>
      </c>
      <c r="D58" s="17" t="s">
        <v>244</v>
      </c>
      <c r="E58" s="102"/>
    </row>
    <row r="59" spans="1:5" ht="21" x14ac:dyDescent="0.4">
      <c r="A59" s="347" t="s">
        <v>92</v>
      </c>
      <c r="B59" s="348"/>
      <c r="C59" s="348"/>
      <c r="D59" s="348"/>
      <c r="E59" s="349"/>
    </row>
    <row r="60" spans="1:5" ht="20.25" customHeight="1" x14ac:dyDescent="0.4">
      <c r="A60" s="40"/>
      <c r="B60" s="333" t="s">
        <v>307</v>
      </c>
      <c r="C60" s="333"/>
      <c r="D60" s="333"/>
      <c r="E60" s="334"/>
    </row>
    <row r="61" spans="1:5" x14ac:dyDescent="0.4">
      <c r="A61" s="104">
        <v>48</v>
      </c>
      <c r="B61" s="87" t="s">
        <v>308</v>
      </c>
      <c r="C61" s="284" t="str">
        <f>IF(COUNTBLANK(INTRO!C11:C25)=15,"",COUNTIF(INTRO!F11:F25,"ปริญญาเอก"))</f>
        <v/>
      </c>
      <c r="D61" s="180" t="s">
        <v>51</v>
      </c>
      <c r="E61" s="21"/>
    </row>
    <row r="62" spans="1:5" x14ac:dyDescent="0.4">
      <c r="A62" s="49">
        <v>49</v>
      </c>
      <c r="B62" s="11" t="s">
        <v>309</v>
      </c>
      <c r="C62" s="284" t="str">
        <f>IF(COUNTBLANK(INTRO!C11:C25)=15,"",15-COUNTIF(INTRO!C11:C25,""))</f>
        <v/>
      </c>
      <c r="D62" s="180" t="s">
        <v>51</v>
      </c>
      <c r="E62" s="22"/>
    </row>
    <row r="63" spans="1:5" x14ac:dyDescent="0.4">
      <c r="A63" s="49">
        <v>50</v>
      </c>
      <c r="B63" s="11" t="s">
        <v>310</v>
      </c>
      <c r="C63" s="53" t="str">
        <f>IF(COUNTBLANK(C61:C62)=2,"",IF(ISERROR(C61*100/C62),,C61*100/C62))</f>
        <v/>
      </c>
      <c r="D63" s="180" t="s">
        <v>243</v>
      </c>
      <c r="E63" s="22"/>
    </row>
    <row r="64" spans="1:5" ht="40.5" x14ac:dyDescent="0.4">
      <c r="A64" s="50">
        <v>51</v>
      </c>
      <c r="B64" s="12" t="s">
        <v>311</v>
      </c>
      <c r="C64" s="54" t="str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/>
      </c>
      <c r="D64" s="180" t="s">
        <v>63</v>
      </c>
      <c r="E64" s="102"/>
    </row>
    <row r="65" spans="1:5" ht="20.25" customHeight="1" x14ac:dyDescent="0.4">
      <c r="A65" s="40"/>
      <c r="B65" s="350" t="s">
        <v>316</v>
      </c>
      <c r="C65" s="350"/>
      <c r="D65" s="350"/>
      <c r="E65" s="351"/>
    </row>
    <row r="66" spans="1:5" x14ac:dyDescent="0.4">
      <c r="A66" s="48">
        <v>52</v>
      </c>
      <c r="B66" s="10" t="s">
        <v>312</v>
      </c>
      <c r="C66" s="112" t="str">
        <f>IF(COUNTBLANK(INTRO!C11:C25)=15,"",COUNTIF(INTRO!B11:B25,"ผศ.")+COUNTIF(INTRO!B11:B25,"รศ.")+COUNTIF(INTRO!B11:B25,"ศ."))</f>
        <v/>
      </c>
      <c r="D66" s="181" t="s">
        <v>51</v>
      </c>
      <c r="E66" s="22"/>
    </row>
    <row r="67" spans="1:5" ht="40.5" x14ac:dyDescent="0.4">
      <c r="A67" s="49">
        <v>53</v>
      </c>
      <c r="B67" s="11" t="s">
        <v>313</v>
      </c>
      <c r="C67" s="53" t="str">
        <f>IF(C62="","",IF(ISERROR(C66*100/C62),,C66*100/C62))</f>
        <v/>
      </c>
      <c r="D67" s="181" t="s">
        <v>243</v>
      </c>
      <c r="E67" s="22"/>
    </row>
    <row r="68" spans="1:5" ht="40.5" x14ac:dyDescent="0.4">
      <c r="A68" s="50">
        <v>54</v>
      </c>
      <c r="B68" s="96" t="s">
        <v>314</v>
      </c>
      <c r="C68" s="108" t="str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/>
      </c>
      <c r="D68" s="181" t="s">
        <v>63</v>
      </c>
      <c r="E68" s="109"/>
    </row>
    <row r="69" spans="1:5" ht="21" x14ac:dyDescent="0.4">
      <c r="A69" s="106"/>
      <c r="B69" s="350" t="s">
        <v>364</v>
      </c>
      <c r="C69" s="350"/>
      <c r="D69" s="350"/>
      <c r="E69" s="351"/>
    </row>
    <row r="70" spans="1:5" ht="20.25" customHeight="1" x14ac:dyDescent="0.4">
      <c r="A70" s="40"/>
      <c r="B70" s="333" t="s">
        <v>93</v>
      </c>
      <c r="C70" s="333"/>
      <c r="D70" s="333"/>
      <c r="E70" s="334"/>
    </row>
    <row r="71" spans="1:5" ht="40.5" x14ac:dyDescent="0.4">
      <c r="A71" s="104">
        <v>55</v>
      </c>
      <c r="B71" s="182" t="s">
        <v>248</v>
      </c>
      <c r="C71" s="112"/>
      <c r="D71" s="89" t="s">
        <v>245</v>
      </c>
      <c r="E71" s="61"/>
    </row>
    <row r="72" spans="1:5" ht="40.5" x14ac:dyDescent="0.4">
      <c r="A72" s="114">
        <v>56</v>
      </c>
      <c r="B72" s="182" t="s">
        <v>249</v>
      </c>
      <c r="C72" s="112"/>
      <c r="D72" s="89" t="s">
        <v>245</v>
      </c>
      <c r="E72" s="88"/>
    </row>
    <row r="73" spans="1:5" ht="40.5" x14ac:dyDescent="0.4">
      <c r="A73" s="104">
        <v>57</v>
      </c>
      <c r="B73" s="183" t="s">
        <v>250</v>
      </c>
      <c r="C73" s="112"/>
      <c r="D73" s="89" t="s">
        <v>245</v>
      </c>
      <c r="E73" s="88"/>
    </row>
    <row r="74" spans="1:5" ht="40.5" x14ac:dyDescent="0.4">
      <c r="A74" s="114">
        <v>58</v>
      </c>
      <c r="B74" s="183" t="s">
        <v>251</v>
      </c>
      <c r="C74" s="112"/>
      <c r="D74" s="89" t="s">
        <v>245</v>
      </c>
      <c r="E74" s="88"/>
    </row>
    <row r="75" spans="1:5" ht="60.75" x14ac:dyDescent="0.4">
      <c r="A75" s="104">
        <v>59</v>
      </c>
      <c r="B75" s="183" t="s">
        <v>252</v>
      </c>
      <c r="C75" s="112"/>
      <c r="D75" s="89" t="s">
        <v>245</v>
      </c>
      <c r="E75" s="88"/>
    </row>
    <row r="76" spans="1:5" ht="60.75" x14ac:dyDescent="0.4">
      <c r="A76" s="114">
        <v>60</v>
      </c>
      <c r="B76" s="183" t="s">
        <v>253</v>
      </c>
      <c r="C76" s="112"/>
      <c r="D76" s="89" t="s">
        <v>245</v>
      </c>
      <c r="E76" s="88"/>
    </row>
    <row r="77" spans="1:5" x14ac:dyDescent="0.4">
      <c r="A77" s="104">
        <v>61</v>
      </c>
      <c r="B77" s="184" t="s">
        <v>182</v>
      </c>
      <c r="C77" s="112"/>
      <c r="D77" s="89" t="s">
        <v>245</v>
      </c>
      <c r="E77" s="88"/>
    </row>
    <row r="78" spans="1:5" ht="40.5" x14ac:dyDescent="0.4">
      <c r="A78" s="114">
        <v>62</v>
      </c>
      <c r="B78" s="184" t="s">
        <v>254</v>
      </c>
      <c r="C78" s="112"/>
      <c r="D78" s="89" t="s">
        <v>245</v>
      </c>
      <c r="E78" s="88"/>
    </row>
    <row r="79" spans="1:5" ht="40.5" x14ac:dyDescent="0.4">
      <c r="A79" s="104">
        <v>63</v>
      </c>
      <c r="B79" s="184" t="s">
        <v>255</v>
      </c>
      <c r="C79" s="112"/>
      <c r="D79" s="89" t="s">
        <v>245</v>
      </c>
      <c r="E79" s="88"/>
    </row>
    <row r="80" spans="1:5" ht="60.75" x14ac:dyDescent="0.4">
      <c r="A80" s="114">
        <v>64</v>
      </c>
      <c r="B80" s="184" t="s">
        <v>256</v>
      </c>
      <c r="C80" s="112"/>
      <c r="D80" s="89" t="s">
        <v>245</v>
      </c>
      <c r="E80" s="88"/>
    </row>
    <row r="81" spans="1:5" ht="81" x14ac:dyDescent="0.4">
      <c r="A81" s="104">
        <v>65</v>
      </c>
      <c r="B81" s="184" t="s">
        <v>257</v>
      </c>
      <c r="C81" s="112"/>
      <c r="D81" s="89" t="s">
        <v>245</v>
      </c>
      <c r="E81" s="88"/>
    </row>
    <row r="82" spans="1:5" ht="40.5" x14ac:dyDescent="0.4">
      <c r="A82" s="114">
        <v>66</v>
      </c>
      <c r="B82" s="184" t="s">
        <v>258</v>
      </c>
      <c r="C82" s="112"/>
      <c r="D82" s="89" t="s">
        <v>245</v>
      </c>
      <c r="E82" s="88"/>
    </row>
    <row r="83" spans="1:5" ht="40.5" x14ac:dyDescent="0.4">
      <c r="A83" s="104">
        <v>67</v>
      </c>
      <c r="B83" s="184" t="s">
        <v>259</v>
      </c>
      <c r="C83" s="112"/>
      <c r="D83" s="89" t="s">
        <v>245</v>
      </c>
      <c r="E83" s="88"/>
    </row>
    <row r="84" spans="1:5" ht="53.25" customHeight="1" x14ac:dyDescent="0.4">
      <c r="A84" s="114">
        <v>68</v>
      </c>
      <c r="B84" s="184" t="s">
        <v>260</v>
      </c>
      <c r="C84" s="112"/>
      <c r="D84" s="89" t="s">
        <v>245</v>
      </c>
      <c r="E84" s="88"/>
    </row>
    <row r="85" spans="1:5" ht="60.75" x14ac:dyDescent="0.4">
      <c r="A85" s="104">
        <v>69</v>
      </c>
      <c r="B85" s="184" t="s">
        <v>261</v>
      </c>
      <c r="C85" s="112"/>
      <c r="D85" s="89" t="s">
        <v>245</v>
      </c>
      <c r="E85" s="88"/>
    </row>
    <row r="86" spans="1:5" x14ac:dyDescent="0.4">
      <c r="A86" s="114">
        <v>70</v>
      </c>
      <c r="B86" s="184" t="s">
        <v>96</v>
      </c>
      <c r="C86" s="112"/>
      <c r="D86" s="89" t="s">
        <v>245</v>
      </c>
      <c r="E86" s="88"/>
    </row>
    <row r="87" spans="1:5" ht="40.5" x14ac:dyDescent="0.4">
      <c r="A87" s="104">
        <v>71</v>
      </c>
      <c r="B87" s="184" t="s">
        <v>242</v>
      </c>
      <c r="C87" s="112"/>
      <c r="D87" s="89" t="s">
        <v>245</v>
      </c>
      <c r="E87" s="88"/>
    </row>
    <row r="88" spans="1:5" ht="40.5" x14ac:dyDescent="0.4">
      <c r="A88" s="114">
        <v>72</v>
      </c>
      <c r="B88" s="184" t="s">
        <v>97</v>
      </c>
      <c r="C88" s="112"/>
      <c r="D88" s="89" t="s">
        <v>245</v>
      </c>
      <c r="E88" s="88"/>
    </row>
    <row r="89" spans="1:5" ht="40.5" x14ac:dyDescent="0.4">
      <c r="A89" s="104">
        <v>73</v>
      </c>
      <c r="B89" s="184" t="s">
        <v>98</v>
      </c>
      <c r="C89" s="112"/>
      <c r="D89" s="89" t="s">
        <v>245</v>
      </c>
      <c r="E89" s="88"/>
    </row>
    <row r="90" spans="1:5" x14ac:dyDescent="0.4">
      <c r="A90" s="114">
        <v>74</v>
      </c>
      <c r="B90" s="184" t="s">
        <v>262</v>
      </c>
      <c r="C90" s="112"/>
      <c r="D90" s="89" t="s">
        <v>245</v>
      </c>
      <c r="E90" s="88"/>
    </row>
    <row r="91" spans="1:5" x14ac:dyDescent="0.4">
      <c r="A91" s="104">
        <v>75</v>
      </c>
      <c r="B91" s="184" t="s">
        <v>263</v>
      </c>
      <c r="C91" s="112"/>
      <c r="D91" s="89" t="s">
        <v>245</v>
      </c>
      <c r="E91" s="88"/>
    </row>
    <row r="92" spans="1:5" ht="60.75" x14ac:dyDescent="0.4">
      <c r="A92" s="114">
        <v>76</v>
      </c>
      <c r="B92" s="184" t="s">
        <v>264</v>
      </c>
      <c r="C92" s="112"/>
      <c r="D92" s="89" t="s">
        <v>245</v>
      </c>
      <c r="E92" s="88"/>
    </row>
    <row r="93" spans="1:5" ht="60.75" x14ac:dyDescent="0.4">
      <c r="A93" s="104">
        <v>77</v>
      </c>
      <c r="B93" s="185" t="s">
        <v>265</v>
      </c>
      <c r="C93" s="112"/>
      <c r="D93" s="89" t="s">
        <v>245</v>
      </c>
      <c r="E93" s="88"/>
    </row>
    <row r="94" spans="1:5" x14ac:dyDescent="0.4">
      <c r="A94" s="114">
        <v>78</v>
      </c>
      <c r="B94" s="186" t="s">
        <v>81</v>
      </c>
      <c r="C94" s="56" t="str">
        <f>IF(COUNTBLANK(C71:C93)=23,"",(SUM(C71:C72)*0.2)+(SUM(C73:C77)*0.4)+(SUM(C78:C79)*0.6)+(SUM(C80:C83)*0.8)+SUM(C84:C93))</f>
        <v/>
      </c>
      <c r="D94" s="89" t="s">
        <v>244</v>
      </c>
      <c r="E94" s="107"/>
    </row>
    <row r="95" spans="1:5" ht="20.25" customHeight="1" x14ac:dyDescent="0.4">
      <c r="A95" s="40"/>
      <c r="B95" s="333" t="s">
        <v>88</v>
      </c>
      <c r="C95" s="333"/>
      <c r="D95" s="333"/>
      <c r="E95" s="334"/>
    </row>
    <row r="96" spans="1:5" ht="40.5" x14ac:dyDescent="0.4">
      <c r="A96" s="17">
        <v>79</v>
      </c>
      <c r="B96" s="87" t="s">
        <v>54</v>
      </c>
      <c r="C96" s="112"/>
      <c r="D96" s="89" t="s">
        <v>245</v>
      </c>
      <c r="E96" s="21"/>
    </row>
    <row r="97" spans="1:5" x14ac:dyDescent="0.4">
      <c r="A97" s="18">
        <v>80</v>
      </c>
      <c r="B97" s="11" t="s">
        <v>55</v>
      </c>
      <c r="C97" s="112"/>
      <c r="D97" s="89" t="s">
        <v>245</v>
      </c>
      <c r="E97" s="105"/>
    </row>
    <row r="98" spans="1:5" x14ac:dyDescent="0.4">
      <c r="A98" s="17">
        <v>81</v>
      </c>
      <c r="B98" s="11" t="s">
        <v>56</v>
      </c>
      <c r="C98" s="112"/>
      <c r="D98" s="89" t="s">
        <v>245</v>
      </c>
      <c r="E98" s="105"/>
    </row>
    <row r="99" spans="1:5" ht="40.5" x14ac:dyDescent="0.4">
      <c r="A99" s="18">
        <v>82</v>
      </c>
      <c r="B99" s="11" t="s">
        <v>57</v>
      </c>
      <c r="C99" s="112"/>
      <c r="D99" s="89" t="s">
        <v>245</v>
      </c>
      <c r="E99" s="105"/>
    </row>
    <row r="100" spans="1:5" ht="40.5" x14ac:dyDescent="0.4">
      <c r="A100" s="17">
        <v>83</v>
      </c>
      <c r="B100" s="11" t="s">
        <v>58</v>
      </c>
      <c r="C100" s="112"/>
      <c r="D100" s="89" t="s">
        <v>245</v>
      </c>
      <c r="E100" s="105"/>
    </row>
    <row r="101" spans="1:5" x14ac:dyDescent="0.4">
      <c r="A101" s="18">
        <v>84</v>
      </c>
      <c r="B101" s="11" t="s">
        <v>80</v>
      </c>
      <c r="C101" s="56" t="str">
        <f>IF(COUNTBLANK(C96:C100)=5,"",(SUM(C96)*0.2)+(SUM(C97)*0.4)+(SUM(C98)*0.6)+(SUM(C99)*0.8)+SUM(C100))</f>
        <v/>
      </c>
      <c r="D101" s="18" t="s">
        <v>244</v>
      </c>
      <c r="E101" s="105"/>
    </row>
    <row r="102" spans="1:5" x14ac:dyDescent="0.4">
      <c r="A102" s="17">
        <v>85</v>
      </c>
      <c r="B102" s="13" t="s">
        <v>82</v>
      </c>
      <c r="C102" s="56" t="str">
        <f>IF(AND(C94="",C101=""),"",SUM(C94,C101))</f>
        <v/>
      </c>
      <c r="D102" s="19" t="s">
        <v>244</v>
      </c>
      <c r="E102" s="110"/>
    </row>
    <row r="103" spans="1:5" ht="21" x14ac:dyDescent="0.4">
      <c r="A103" s="40"/>
      <c r="B103" s="333" t="s">
        <v>319</v>
      </c>
      <c r="C103" s="333"/>
      <c r="D103" s="333"/>
      <c r="E103" s="334"/>
    </row>
    <row r="104" spans="1:5" ht="43.5" customHeight="1" x14ac:dyDescent="0.4">
      <c r="A104" s="17">
        <v>86</v>
      </c>
      <c r="B104" s="111" t="s">
        <v>320</v>
      </c>
      <c r="C104" s="112"/>
      <c r="D104" s="89" t="s">
        <v>245</v>
      </c>
      <c r="E104" s="21"/>
    </row>
    <row r="105" spans="1:5" x14ac:dyDescent="0.4">
      <c r="A105" s="18">
        <v>87</v>
      </c>
      <c r="B105" s="36" t="s">
        <v>321</v>
      </c>
      <c r="C105" s="135" t="str">
        <f>IF(INTRO!D1=info!C10,IF(INTRO!G32="","",INTRO!G32),"")</f>
        <v/>
      </c>
      <c r="D105" s="37" t="s">
        <v>51</v>
      </c>
      <c r="E105" s="105"/>
    </row>
    <row r="106" spans="1:5" ht="40.5" x14ac:dyDescent="0.4">
      <c r="A106" s="19">
        <v>88</v>
      </c>
      <c r="B106" s="38" t="s">
        <v>322</v>
      </c>
      <c r="C106" s="56" t="str">
        <f>IF(INTRO!D1=info!C10,IF(COUNTBLANK(CDS!C104:C105)=2,"",IF(ISERROR(CDS!C104/CDS!C105),,CDS!C104/CDS!C105)),"")</f>
        <v/>
      </c>
      <c r="D106" s="39" t="s">
        <v>246</v>
      </c>
      <c r="E106" s="110"/>
    </row>
    <row r="107" spans="1:5" ht="21" x14ac:dyDescent="0.4">
      <c r="A107" s="40"/>
      <c r="B107" s="333"/>
      <c r="C107" s="333"/>
      <c r="D107" s="333"/>
      <c r="E107" s="334"/>
    </row>
    <row r="108" spans="1:5" customFormat="1" ht="40.5" x14ac:dyDescent="0.2">
      <c r="A108" s="298">
        <v>89</v>
      </c>
      <c r="B108" s="25" t="s">
        <v>289</v>
      </c>
      <c r="C108" s="306"/>
      <c r="D108" s="300" t="s">
        <v>63</v>
      </c>
      <c r="E108" s="301" t="s">
        <v>288</v>
      </c>
    </row>
    <row r="109" spans="1:5" customFormat="1" ht="81" x14ac:dyDescent="0.2">
      <c r="A109" s="302">
        <v>90</v>
      </c>
      <c r="B109" s="303" t="s">
        <v>414</v>
      </c>
      <c r="C109" s="299"/>
      <c r="D109" s="304" t="s">
        <v>245</v>
      </c>
      <c r="E109" s="305"/>
    </row>
    <row r="110" spans="1:5" customFormat="1" ht="40.5" x14ac:dyDescent="0.2">
      <c r="A110" s="298">
        <v>91</v>
      </c>
      <c r="B110" s="303" t="s">
        <v>415</v>
      </c>
      <c r="C110" s="299"/>
      <c r="D110" s="304" t="s">
        <v>245</v>
      </c>
      <c r="E110" s="305"/>
    </row>
    <row r="111" spans="1:5" customFormat="1" ht="60.75" x14ac:dyDescent="0.2">
      <c r="A111" s="302">
        <v>92</v>
      </c>
      <c r="B111" s="303" t="s">
        <v>416</v>
      </c>
      <c r="C111" s="306"/>
      <c r="D111" s="304" t="s">
        <v>243</v>
      </c>
      <c r="E111" s="305"/>
    </row>
    <row r="112" spans="1:5" customFormat="1" ht="14.25" x14ac:dyDescent="0.2">
      <c r="E112" s="84"/>
    </row>
    <row r="113" spans="1:5" customFormat="1" ht="14.25" x14ac:dyDescent="0.2">
      <c r="E113" s="84"/>
    </row>
    <row r="114" spans="1:5" customFormat="1" ht="14.25" x14ac:dyDescent="0.2">
      <c r="E114" s="84"/>
    </row>
    <row r="115" spans="1:5" customFormat="1" ht="14.25" x14ac:dyDescent="0.2">
      <c r="E115" s="84"/>
    </row>
    <row r="122" spans="1:5" s="170" customFormat="1" x14ac:dyDescent="0.4">
      <c r="A122" s="258"/>
      <c r="B122" s="259"/>
      <c r="E122" s="260"/>
    </row>
    <row r="123" spans="1:5" s="170" customFormat="1" x14ac:dyDescent="0.4">
      <c r="A123" s="258"/>
      <c r="B123" s="259"/>
      <c r="E123" s="260"/>
    </row>
    <row r="124" spans="1:5" s="170" customFormat="1" x14ac:dyDescent="0.4">
      <c r="A124" s="258"/>
      <c r="B124" s="259"/>
      <c r="E124" s="260"/>
    </row>
    <row r="125" spans="1:5" s="170" customFormat="1" x14ac:dyDescent="0.4">
      <c r="A125" s="258"/>
      <c r="B125" s="259"/>
      <c r="E125" s="260"/>
    </row>
    <row r="126" spans="1:5" s="170" customFormat="1" x14ac:dyDescent="0.4">
      <c r="A126" s="258"/>
      <c r="B126" s="259"/>
      <c r="E126" s="260"/>
    </row>
    <row r="127" spans="1:5" s="170" customFormat="1" x14ac:dyDescent="0.4">
      <c r="A127" s="258"/>
      <c r="B127" s="259"/>
      <c r="E127" s="260"/>
    </row>
    <row r="128" spans="1:5" s="170" customFormat="1" x14ac:dyDescent="0.4">
      <c r="A128" s="258"/>
      <c r="B128" s="259"/>
      <c r="E128" s="260"/>
    </row>
    <row r="129" spans="1:5" s="170" customFormat="1" x14ac:dyDescent="0.4">
      <c r="A129" s="258"/>
      <c r="B129" s="259"/>
      <c r="E129" s="260"/>
    </row>
    <row r="130" spans="1:5" s="170" customFormat="1" x14ac:dyDescent="0.4">
      <c r="A130" s="258"/>
      <c r="B130" s="259"/>
      <c r="E130" s="260"/>
    </row>
    <row r="131" spans="1:5" s="170" customFormat="1" x14ac:dyDescent="0.4">
      <c r="A131" s="258"/>
      <c r="B131" s="259"/>
      <c r="E131" s="260"/>
    </row>
    <row r="132" spans="1:5" s="170" customFormat="1" x14ac:dyDescent="0.4">
      <c r="A132" s="258"/>
      <c r="B132" s="259"/>
      <c r="E132" s="260"/>
    </row>
    <row r="133" spans="1:5" s="170" customFormat="1" x14ac:dyDescent="0.4">
      <c r="A133" s="258"/>
      <c r="B133" s="259"/>
      <c r="E133" s="260"/>
    </row>
    <row r="134" spans="1:5" s="170" customFormat="1" x14ac:dyDescent="0.4">
      <c r="A134" s="258"/>
      <c r="B134" s="259"/>
      <c r="E134" s="260"/>
    </row>
    <row r="135" spans="1:5" s="170" customFormat="1" x14ac:dyDescent="0.4">
      <c r="A135" s="258"/>
      <c r="B135" s="259"/>
      <c r="E135" s="260"/>
    </row>
    <row r="136" spans="1:5" s="170" customFormat="1" x14ac:dyDescent="0.4">
      <c r="A136" s="258"/>
      <c r="B136" s="259"/>
      <c r="E136" s="260"/>
    </row>
    <row r="137" spans="1:5" s="170" customFormat="1" x14ac:dyDescent="0.4">
      <c r="A137" s="258"/>
      <c r="B137" s="259"/>
      <c r="E137" s="260"/>
    </row>
    <row r="138" spans="1:5" s="170" customFormat="1" x14ac:dyDescent="0.4">
      <c r="A138" s="258"/>
      <c r="B138" s="259"/>
      <c r="E138" s="260"/>
    </row>
  </sheetData>
  <sheetProtection algorithmName="SHA-512" hashValue="+s7zb3yu+/A/+P+Pj7HYWvBET0H59I9Q8gSDOrXJsdMP+xPwLOolHQkCueCmOhNujP1+qYcUPNM1nktxKR14eg==" saltValue="oRRQ2O0EksHnVgVogF4/2Q==" spinCount="100000" sheet="1" objects="1" scenarios="1"/>
  <mergeCells count="16">
    <mergeCell ref="B107:E107"/>
    <mergeCell ref="B65:E65"/>
    <mergeCell ref="B69:E69"/>
    <mergeCell ref="B70:E70"/>
    <mergeCell ref="B95:E95"/>
    <mergeCell ref="B103:E103"/>
    <mergeCell ref="A38:E38"/>
    <mergeCell ref="A40:E40"/>
    <mergeCell ref="A51:E51"/>
    <mergeCell ref="A59:E59"/>
    <mergeCell ref="B60:E60"/>
    <mergeCell ref="A4:E4"/>
    <mergeCell ref="A9:E9"/>
    <mergeCell ref="A16:E16"/>
    <mergeCell ref="A18:E18"/>
    <mergeCell ref="A30:E30"/>
  </mergeCells>
  <conditionalFormatting sqref="E80:E94 E77 C5:C7">
    <cfRule type="containsBlanks" dxfId="185" priority="87">
      <formula>LEN(TRIM(C5))=0</formula>
    </cfRule>
  </conditionalFormatting>
  <conditionalFormatting sqref="C67:C68">
    <cfRule type="containsBlanks" dxfId="184" priority="72">
      <formula>LEN(TRIM(C67))=0</formula>
    </cfRule>
  </conditionalFormatting>
  <conditionalFormatting sqref="C63:C64">
    <cfRule type="containsBlanks" dxfId="183" priority="71">
      <formula>LEN(TRIM(C63))=0</formula>
    </cfRule>
  </conditionalFormatting>
  <conditionalFormatting sqref="C57:C58">
    <cfRule type="containsBlanks" dxfId="182" priority="70">
      <formula>LEN(TRIM(C57))=0</formula>
    </cfRule>
  </conditionalFormatting>
  <conditionalFormatting sqref="C8">
    <cfRule type="containsBlanks" dxfId="181" priority="69">
      <formula>LEN(TRIM(C8))=0</formula>
    </cfRule>
  </conditionalFormatting>
  <conditionalFormatting sqref="C14:C15">
    <cfRule type="containsBlanks" dxfId="180" priority="68">
      <formula>LEN(TRIM(C14))=0</formula>
    </cfRule>
  </conditionalFormatting>
  <conditionalFormatting sqref="C29">
    <cfRule type="containsBlanks" dxfId="179" priority="67">
      <formula>LEN(TRIM(C29))=0</formula>
    </cfRule>
  </conditionalFormatting>
  <conditionalFormatting sqref="C36:C37">
    <cfRule type="containsBlanks" dxfId="178" priority="66">
      <formula>LEN(TRIM(C36))=0</formula>
    </cfRule>
  </conditionalFormatting>
  <conditionalFormatting sqref="C50">
    <cfRule type="containsBlanks" dxfId="177" priority="65">
      <formula>LEN(TRIM(C50))=0</formula>
    </cfRule>
  </conditionalFormatting>
  <conditionalFormatting sqref="C94">
    <cfRule type="containsBlanks" dxfId="176" priority="64">
      <formula>LEN(TRIM(C94))=0</formula>
    </cfRule>
  </conditionalFormatting>
  <conditionalFormatting sqref="C102">
    <cfRule type="containsBlanks" dxfId="175" priority="63">
      <formula>LEN(TRIM(C102))=0</formula>
    </cfRule>
  </conditionalFormatting>
  <conditionalFormatting sqref="C105:C106">
    <cfRule type="containsBlanks" dxfId="174" priority="62">
      <formula>LEN(TRIM(C105))=0</formula>
    </cfRule>
  </conditionalFormatting>
  <conditionalFormatting sqref="E52:E55 E57:E58">
    <cfRule type="containsBlanks" dxfId="173" priority="45">
      <formula>LEN(TRIM(E52))=0</formula>
    </cfRule>
  </conditionalFormatting>
  <conditionalFormatting sqref="E56">
    <cfRule type="containsBlanks" dxfId="172" priority="44">
      <formula>LEN(TRIM(E56))=0</formula>
    </cfRule>
  </conditionalFormatting>
  <conditionalFormatting sqref="E10:E13">
    <cfRule type="containsBlanks" dxfId="171" priority="58">
      <formula>LEN(TRIM(E10))=0</formula>
    </cfRule>
  </conditionalFormatting>
  <conditionalFormatting sqref="E14:E15">
    <cfRule type="containsBlanks" dxfId="170" priority="57">
      <formula>LEN(TRIM(E14))=0</formula>
    </cfRule>
  </conditionalFormatting>
  <conditionalFormatting sqref="E5:E6">
    <cfRule type="containsBlanks" dxfId="169" priority="56">
      <formula>LEN(TRIM(E5))=0</formula>
    </cfRule>
  </conditionalFormatting>
  <conditionalFormatting sqref="E7:E8">
    <cfRule type="containsBlanks" dxfId="168" priority="55">
      <formula>LEN(TRIM(E7))=0</formula>
    </cfRule>
  </conditionalFormatting>
  <conditionalFormatting sqref="E17">
    <cfRule type="containsBlanks" dxfId="167" priority="54">
      <formula>LEN(TRIM(E17))=0</formula>
    </cfRule>
  </conditionalFormatting>
  <conditionalFormatting sqref="E24:E27">
    <cfRule type="containsBlanks" dxfId="166" priority="53">
      <formula>LEN(TRIM(E24))=0</formula>
    </cfRule>
  </conditionalFormatting>
  <conditionalFormatting sqref="E28">
    <cfRule type="containsBlanks" dxfId="165" priority="52">
      <formula>LEN(TRIM(E28))=0</formula>
    </cfRule>
  </conditionalFormatting>
  <conditionalFormatting sqref="E29">
    <cfRule type="containsBlanks" dxfId="164" priority="51">
      <formula>LEN(TRIM(E29))=0</formula>
    </cfRule>
  </conditionalFormatting>
  <conditionalFormatting sqref="E31:E35">
    <cfRule type="containsBlanks" dxfId="163" priority="50">
      <formula>LEN(TRIM(E31))=0</formula>
    </cfRule>
  </conditionalFormatting>
  <conditionalFormatting sqref="E36:E37">
    <cfRule type="containsBlanks" dxfId="162" priority="49">
      <formula>LEN(TRIM(E36))=0</formula>
    </cfRule>
  </conditionalFormatting>
  <conditionalFormatting sqref="E39">
    <cfRule type="containsBlanks" dxfId="161" priority="48">
      <formula>LEN(TRIM(E39))=0</formula>
    </cfRule>
  </conditionalFormatting>
  <conditionalFormatting sqref="E41:E46">
    <cfRule type="containsBlanks" dxfId="160" priority="47">
      <formula>LEN(TRIM(E41))=0</formula>
    </cfRule>
  </conditionalFormatting>
  <conditionalFormatting sqref="E47:E50">
    <cfRule type="containsBlanks" dxfId="159" priority="46">
      <formula>LEN(TRIM(E47))=0</formula>
    </cfRule>
  </conditionalFormatting>
  <conditionalFormatting sqref="E66:E68">
    <cfRule type="containsBlanks" dxfId="158" priority="42">
      <formula>LEN(TRIM(E66))=0</formula>
    </cfRule>
  </conditionalFormatting>
  <conditionalFormatting sqref="E71">
    <cfRule type="containsBlanks" dxfId="157" priority="41">
      <formula>LEN(TRIM(E71))=0</formula>
    </cfRule>
  </conditionalFormatting>
  <conditionalFormatting sqref="E61:E64">
    <cfRule type="containsBlanks" dxfId="156" priority="43">
      <formula>LEN(TRIM(E61))=0</formula>
    </cfRule>
  </conditionalFormatting>
  <conditionalFormatting sqref="E104">
    <cfRule type="containsBlanks" dxfId="155" priority="37">
      <formula>LEN(TRIM(E104))=0</formula>
    </cfRule>
  </conditionalFormatting>
  <conditionalFormatting sqref="E105:E106">
    <cfRule type="containsBlanks" dxfId="154" priority="36">
      <formula>LEN(TRIM(E105))=0</formula>
    </cfRule>
  </conditionalFormatting>
  <conditionalFormatting sqref="E72:E76 E78:E79">
    <cfRule type="containsBlanks" dxfId="153" priority="40">
      <formula>LEN(TRIM(E72))=0</formula>
    </cfRule>
  </conditionalFormatting>
  <conditionalFormatting sqref="E96:E102">
    <cfRule type="containsBlanks" dxfId="152" priority="38">
      <formula>LEN(TRIM(E96))=0</formula>
    </cfRule>
  </conditionalFormatting>
  <conditionalFormatting sqref="E19">
    <cfRule type="containsBlanks" dxfId="151" priority="35">
      <formula>LEN(TRIM(E19))=0</formula>
    </cfRule>
  </conditionalFormatting>
  <conditionalFormatting sqref="E20:E23">
    <cfRule type="containsBlanks" dxfId="150" priority="34">
      <formula>LEN(TRIM(E20))=0</formula>
    </cfRule>
  </conditionalFormatting>
  <conditionalFormatting sqref="C101">
    <cfRule type="containsBlanks" dxfId="149" priority="33">
      <formula>LEN(TRIM(C101))=0</formula>
    </cfRule>
  </conditionalFormatting>
  <conditionalFormatting sqref="C41:C49">
    <cfRule type="containsBlanks" dxfId="148" priority="17">
      <formula>LEN(TRIM(C41))=0</formula>
    </cfRule>
  </conditionalFormatting>
  <conditionalFormatting sqref="C52:C56">
    <cfRule type="containsBlanks" dxfId="147" priority="16">
      <formula>LEN(TRIM(C52))=0</formula>
    </cfRule>
  </conditionalFormatting>
  <conditionalFormatting sqref="C39">
    <cfRule type="containsBlanks" dxfId="146" priority="18">
      <formula>LEN(TRIM(C39))=0</formula>
    </cfRule>
  </conditionalFormatting>
  <conditionalFormatting sqref="C10:C13">
    <cfRule type="containsBlanks" dxfId="145" priority="22">
      <formula>LEN(TRIM(C10))=0</formula>
    </cfRule>
  </conditionalFormatting>
  <conditionalFormatting sqref="C17">
    <cfRule type="containsBlanks" dxfId="144" priority="21">
      <formula>LEN(TRIM(C17))=0</formula>
    </cfRule>
  </conditionalFormatting>
  <conditionalFormatting sqref="C19:C28">
    <cfRule type="containsBlanks" dxfId="143" priority="20">
      <formula>LEN(TRIM(C19))=0</formula>
    </cfRule>
  </conditionalFormatting>
  <conditionalFormatting sqref="C31:C35">
    <cfRule type="containsBlanks" dxfId="142" priority="19">
      <formula>LEN(TRIM(C31))=0</formula>
    </cfRule>
  </conditionalFormatting>
  <conditionalFormatting sqref="C66">
    <cfRule type="containsBlanks" dxfId="141" priority="14">
      <formula>LEN(TRIM(C66))=0</formula>
    </cfRule>
  </conditionalFormatting>
  <conditionalFormatting sqref="C96:C100">
    <cfRule type="containsBlanks" dxfId="140" priority="11">
      <formula>LEN(TRIM(C96))=0</formula>
    </cfRule>
  </conditionalFormatting>
  <conditionalFormatting sqref="C71:C93">
    <cfRule type="containsBlanks" dxfId="139" priority="12">
      <formula>LEN(TRIM(C71))=0</formula>
    </cfRule>
  </conditionalFormatting>
  <conditionalFormatting sqref="C104">
    <cfRule type="containsBlanks" dxfId="138" priority="9">
      <formula>LEN(TRIM(C104))=0</formula>
    </cfRule>
  </conditionalFormatting>
  <conditionalFormatting sqref="C61:C62">
    <cfRule type="containsBlanks" dxfId="137" priority="4">
      <formula>LEN(TRIM(C61))=0</formula>
    </cfRule>
  </conditionalFormatting>
  <conditionalFormatting sqref="E108">
    <cfRule type="containsBlanks" dxfId="136" priority="2">
      <formula>LEN(TRIM(E108))=0</formula>
    </cfRule>
  </conditionalFormatting>
  <conditionalFormatting sqref="C108:C111">
    <cfRule type="containsBlanks" dxfId="135" priority="1">
      <formula>LEN(TRIM(C108))=0</formula>
    </cfRule>
  </conditionalFormatting>
  <dataValidations count="1">
    <dataValidation type="decimal" showInputMessage="1" showErrorMessage="1" errorTitle="กรอกเฉพาะตัวเลข 1-9999" error="กรอกเฉพาะตัวเลข 1-9999" promptTitle="กรอกเฉพาะตัวเลขเท่านั้น" sqref="C5:C7 C10:C13 C17 C19:C28 C31:C35 C39 C41:C49 C52:C56 C104 C96:C100 C71:C93 C108:C111">
      <formula1>0</formula1>
      <formula2>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>&amp;L&amp;"Browallia New,ธรรมดา"&amp;12ข้อมูลพื้นฐาน (Common Data Set)&amp;R&amp;"Browallia New,ธรรมดา"&amp;12หน้าที่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opLeftCell="A13" zoomScaleNormal="100" workbookViewId="0">
      <selection activeCell="C17" sqref="C17"/>
    </sheetView>
  </sheetViews>
  <sheetFormatPr defaultColWidth="9" defaultRowHeight="14.25" x14ac:dyDescent="0.2"/>
  <cols>
    <col min="1" max="1" width="8.25" style="82" customWidth="1"/>
    <col min="2" max="2" width="64.375" style="6" customWidth="1"/>
    <col min="3" max="3" width="19.875" style="6" customWidth="1"/>
    <col min="4" max="4" width="0.75" style="6" customWidth="1"/>
    <col min="5" max="16384" width="9" style="6"/>
  </cols>
  <sheetData>
    <row r="1" spans="1:3" ht="24.75" customHeight="1" x14ac:dyDescent="0.2">
      <c r="A1" s="80" t="s">
        <v>156</v>
      </c>
      <c r="B1" s="81"/>
    </row>
    <row r="2" spans="1:3" s="5" customFormat="1" ht="36.75" customHeight="1" x14ac:dyDescent="0.5">
      <c r="A2" s="354" t="str">
        <f>"ชื่อหลักสูตร  "&amp;IF(INTRO!C3="","",INTRO!C3)</f>
        <v xml:space="preserve">ชื่อหลักสูตร  </v>
      </c>
      <c r="B2" s="354"/>
      <c r="C2" s="293" t="str">
        <f>IF(INTRO!C2="","",INTRO!C2)</f>
        <v>เลือกคณะ</v>
      </c>
    </row>
    <row r="3" spans="1:3" ht="26.25" customHeight="1" x14ac:dyDescent="0.2">
      <c r="A3" s="116"/>
      <c r="B3" s="117"/>
      <c r="C3" s="118"/>
    </row>
    <row r="4" spans="1:3" ht="21.75" customHeight="1" thickBot="1" x14ac:dyDescent="0.25">
      <c r="A4" s="80" t="s">
        <v>186</v>
      </c>
      <c r="B4" s="81" t="s">
        <v>188</v>
      </c>
    </row>
    <row r="5" spans="1:3" ht="38.25" customHeight="1" x14ac:dyDescent="0.2">
      <c r="A5" s="119" t="s">
        <v>237</v>
      </c>
      <c r="B5" s="120" t="s">
        <v>189</v>
      </c>
      <c r="C5" s="121" t="s">
        <v>187</v>
      </c>
    </row>
    <row r="6" spans="1:3" ht="40.5" x14ac:dyDescent="0.2">
      <c r="A6" s="122">
        <v>1</v>
      </c>
      <c r="B6" s="26" t="s">
        <v>340</v>
      </c>
      <c r="C6" s="123" t="s">
        <v>43</v>
      </c>
    </row>
    <row r="7" spans="1:3" ht="40.5" x14ac:dyDescent="0.2">
      <c r="A7" s="122">
        <v>2</v>
      </c>
      <c r="B7" s="26" t="s">
        <v>341</v>
      </c>
      <c r="C7" s="123" t="s">
        <v>43</v>
      </c>
    </row>
    <row r="8" spans="1:3" ht="56.25" customHeight="1" x14ac:dyDescent="0.2">
      <c r="A8" s="122">
        <v>3</v>
      </c>
      <c r="B8" s="26" t="s">
        <v>342</v>
      </c>
      <c r="C8" s="123" t="s">
        <v>43</v>
      </c>
    </row>
    <row r="9" spans="1:3" ht="81" x14ac:dyDescent="0.2">
      <c r="A9" s="122">
        <v>4</v>
      </c>
      <c r="B9" s="26" t="s">
        <v>419</v>
      </c>
      <c r="C9" s="123" t="s">
        <v>43</v>
      </c>
    </row>
    <row r="10" spans="1:3" ht="21" x14ac:dyDescent="0.2">
      <c r="A10" s="122">
        <v>5</v>
      </c>
      <c r="B10" s="26" t="s">
        <v>343</v>
      </c>
      <c r="C10" s="123" t="s">
        <v>43</v>
      </c>
    </row>
    <row r="11" spans="1:3" ht="40.5" x14ac:dyDescent="0.2">
      <c r="A11" s="122">
        <v>6</v>
      </c>
      <c r="B11" s="26" t="s">
        <v>418</v>
      </c>
      <c r="C11" s="123" t="s">
        <v>43</v>
      </c>
    </row>
    <row r="12" spans="1:3" ht="60.75" x14ac:dyDescent="0.2">
      <c r="A12" s="122">
        <v>7</v>
      </c>
      <c r="B12" s="26" t="s">
        <v>344</v>
      </c>
      <c r="C12" s="123" t="s">
        <v>43</v>
      </c>
    </row>
    <row r="13" spans="1:3" ht="35.25" customHeight="1" x14ac:dyDescent="0.2">
      <c r="A13" s="122">
        <v>8</v>
      </c>
      <c r="B13" s="26" t="s">
        <v>157</v>
      </c>
      <c r="C13" s="123" t="s">
        <v>43</v>
      </c>
    </row>
    <row r="14" spans="1:3" ht="31.5" customHeight="1" x14ac:dyDescent="0.2">
      <c r="A14" s="122">
        <v>9</v>
      </c>
      <c r="B14" s="26" t="s">
        <v>345</v>
      </c>
      <c r="C14" s="123" t="s">
        <v>43</v>
      </c>
    </row>
    <row r="15" spans="1:3" ht="21" x14ac:dyDescent="0.2">
      <c r="A15" s="122">
        <v>10</v>
      </c>
      <c r="B15" s="26" t="s">
        <v>346</v>
      </c>
      <c r="C15" s="123" t="s">
        <v>43</v>
      </c>
    </row>
    <row r="16" spans="1:3" ht="40.5" x14ac:dyDescent="0.2">
      <c r="A16" s="264">
        <v>11</v>
      </c>
      <c r="B16" s="265" t="s">
        <v>158</v>
      </c>
      <c r="C16" s="123" t="s">
        <v>43</v>
      </c>
    </row>
    <row r="17" spans="1:3" ht="21" x14ac:dyDescent="0.2">
      <c r="A17" s="124">
        <v>12</v>
      </c>
      <c r="B17" s="25" t="s">
        <v>159</v>
      </c>
      <c r="C17" s="123" t="s">
        <v>43</v>
      </c>
    </row>
    <row r="18" spans="1:3" ht="25.5" x14ac:dyDescent="0.2">
      <c r="A18" s="266"/>
      <c r="B18" s="200"/>
      <c r="C18" s="267"/>
    </row>
    <row r="19" spans="1:3" ht="54" customHeight="1" x14ac:dyDescent="0.2">
      <c r="A19" s="355" t="s">
        <v>160</v>
      </c>
      <c r="B19" s="356"/>
      <c r="C19" s="357" t="str">
        <f>IF(COUNTIF(C6:C17,"เลือก")+COUNTIF(C6:C17,"เลือกอัตโนมัติ")=12,"",COUNTIF(C6:C17,"ผ่าน"))</f>
        <v/>
      </c>
    </row>
    <row r="20" spans="1:3" ht="45.75" customHeight="1" x14ac:dyDescent="0.2">
      <c r="A20" s="355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20" s="356"/>
      <c r="C20" s="357"/>
    </row>
    <row r="21" spans="1:3" ht="31.5" customHeight="1" x14ac:dyDescent="0.2">
      <c r="A21" s="358" t="s">
        <v>176</v>
      </c>
      <c r="B21" s="359"/>
      <c r="C21" s="263" t="str">
        <f>IF(COUNTIF(C6:C17,"เลือก")+COUNTIF(C17,"เลือกอัตโนมัติ")=12,"",COUNT(A6:A17)-COUNTIF(C6:C17,"ยกเว้น"))</f>
        <v/>
      </c>
    </row>
    <row r="22" spans="1:3" ht="27.75" customHeight="1" thickBot="1" x14ac:dyDescent="0.25">
      <c r="A22" s="352" t="s">
        <v>196</v>
      </c>
      <c r="B22" s="353" t="s">
        <v>195</v>
      </c>
      <c r="C22" s="134" t="str">
        <f>IF(AND(C19="",C21=""),"",IF(ISERROR(C19*100/C21),,C19*100/C21))</f>
        <v/>
      </c>
    </row>
    <row r="23" spans="1:3" ht="28.5" customHeight="1" x14ac:dyDescent="0.2"/>
  </sheetData>
  <sheetProtection algorithmName="SHA-512" hashValue="Au/cZxgo/nNC5LuDSO85KRlFIwZFnpiuy54OqUKeZ6mmNW7952gIUO8wsRyskU8z9hKpgRWeYbkUgAbgb463vw==" saltValue="Kf2yP06JBJ/aJ93zcHWl8Q==" spinCount="100000" sheet="1" objects="1" scenarios="1"/>
  <dataConsolidate/>
  <mergeCells count="6">
    <mergeCell ref="A22:B22"/>
    <mergeCell ref="A2:B2"/>
    <mergeCell ref="A19:B19"/>
    <mergeCell ref="C19:C20"/>
    <mergeCell ref="A20:B20"/>
    <mergeCell ref="A21:B21"/>
  </mergeCells>
  <conditionalFormatting sqref="C6:C17">
    <cfRule type="cellIs" dxfId="134" priority="31" operator="equal">
      <formula>"เลือก"</formula>
    </cfRule>
    <cfRule type="cellIs" dxfId="133" priority="32" operator="equal">
      <formula>"ไม่ผ่าน"</formula>
    </cfRule>
    <cfRule type="cellIs" dxfId="132" priority="33" operator="equal">
      <formula>"ผ่าน"</formula>
    </cfRule>
  </conditionalFormatting>
  <conditionalFormatting sqref="A19 C19">
    <cfRule type="cellIs" dxfId="131" priority="28" operator="equal">
      <formula>"เลือก"</formula>
    </cfRule>
    <cfRule type="cellIs" dxfId="130" priority="29" operator="equal">
      <formula>"ไม่ผ่าน"</formula>
    </cfRule>
    <cfRule type="cellIs" dxfId="129" priority="30" operator="equal">
      <formula>"ผ่าน"</formula>
    </cfRule>
  </conditionalFormatting>
  <conditionalFormatting sqref="A20">
    <cfRule type="cellIs" dxfId="128" priority="25" operator="equal">
      <formula>"เลือก"</formula>
    </cfRule>
    <cfRule type="cellIs" dxfId="127" priority="26" operator="equal">
      <formula>"ไม่ผ่าน"</formula>
    </cfRule>
    <cfRule type="cellIs" dxfId="126" priority="27" operator="equal">
      <formula>"ผ่าน"</formula>
    </cfRule>
  </conditionalFormatting>
  <conditionalFormatting sqref="C19:C20">
    <cfRule type="containsBlanks" dxfId="125" priority="35">
      <formula>LEN(TRIM(C19))=0</formula>
    </cfRule>
  </conditionalFormatting>
  <conditionalFormatting sqref="C6:C17">
    <cfRule type="cellIs" dxfId="124" priority="22" operator="equal">
      <formula>"ยกเว้น"</formula>
    </cfRule>
  </conditionalFormatting>
  <conditionalFormatting sqref="C22">
    <cfRule type="cellIs" dxfId="123" priority="14" operator="equal">
      <formula>"เลือก"</formula>
    </cfRule>
    <cfRule type="cellIs" dxfId="122" priority="15" operator="equal">
      <formula>"ไม่ผ่าน"</formula>
    </cfRule>
    <cfRule type="cellIs" dxfId="121" priority="16" operator="equal">
      <formula>"ผ่าน"</formula>
    </cfRule>
  </conditionalFormatting>
  <conditionalFormatting sqref="C22">
    <cfRule type="containsBlanks" dxfId="120" priority="17">
      <formula>LEN(TRIM(C22))=0</formula>
    </cfRule>
  </conditionalFormatting>
  <conditionalFormatting sqref="C21">
    <cfRule type="cellIs" dxfId="119" priority="10" operator="equal">
      <formula>"เลือก"</formula>
    </cfRule>
    <cfRule type="cellIs" dxfId="118" priority="11" operator="equal">
      <formula>"ไม่ผ่าน"</formula>
    </cfRule>
    <cfRule type="cellIs" dxfId="117" priority="12" operator="equal">
      <formula>"ผ่าน"</formula>
    </cfRule>
  </conditionalFormatting>
  <conditionalFormatting sqref="C21">
    <cfRule type="containsBlanks" dxfId="116" priority="13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rowBreaks count="1" manualBreakCount="1">
    <brk id="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70" zoomScaleNormal="70" workbookViewId="0">
      <pane ySplit="5" topLeftCell="A15" activePane="bottomLeft" state="frozen"/>
      <selection activeCell="J12" sqref="J12"/>
      <selection pane="bottomLeft" activeCell="C17" sqref="C17"/>
    </sheetView>
  </sheetViews>
  <sheetFormatPr defaultColWidth="9" defaultRowHeight="18.75" x14ac:dyDescent="0.3"/>
  <cols>
    <col min="1" max="1" width="30.375" style="3" customWidth="1"/>
    <col min="2" max="2" width="43.375" style="3" bestFit="1" customWidth="1"/>
    <col min="3" max="3" width="13.625" style="1" customWidth="1"/>
    <col min="4" max="4" width="45.875" style="1" customWidth="1"/>
    <col min="5" max="16384" width="9" style="1"/>
  </cols>
  <sheetData>
    <row r="1" spans="1:7" ht="57.75" customHeight="1" x14ac:dyDescent="0.3">
      <c r="A1" s="360" t="str">
        <f>"ชื่อหลักสูตร  "&amp;IF(INTRO!C3="","",INTRO!C3)</f>
        <v xml:space="preserve">ชื่อหลักสูตร  </v>
      </c>
      <c r="B1" s="360"/>
      <c r="C1" s="360" t="str">
        <f>IF(INTRO!C2="","",INTRO!C2)</f>
        <v>เลือกคณะ</v>
      </c>
      <c r="D1" s="360"/>
    </row>
    <row r="2" spans="1:7" ht="30" customHeight="1" x14ac:dyDescent="0.3">
      <c r="A2" s="377" t="s">
        <v>190</v>
      </c>
      <c r="B2" s="377"/>
      <c r="C2" s="377"/>
      <c r="D2" s="377"/>
    </row>
    <row r="3" spans="1:7" ht="30" customHeight="1" thickBot="1" x14ac:dyDescent="0.35">
      <c r="A3" s="378" t="s">
        <v>191</v>
      </c>
      <c r="B3" s="378"/>
      <c r="C3" s="378"/>
      <c r="D3" s="378"/>
    </row>
    <row r="4" spans="1:7" ht="37.5" customHeight="1" x14ac:dyDescent="0.3">
      <c r="A4" s="362" t="s">
        <v>0</v>
      </c>
      <c r="B4" s="363"/>
      <c r="C4" s="90" t="s">
        <v>1</v>
      </c>
      <c r="D4" s="366" t="s">
        <v>286</v>
      </c>
    </row>
    <row r="5" spans="1:7" ht="21" x14ac:dyDescent="0.3">
      <c r="A5" s="364"/>
      <c r="B5" s="365"/>
      <c r="C5" s="91" t="s">
        <v>39</v>
      </c>
      <c r="D5" s="367"/>
    </row>
    <row r="6" spans="1:7" ht="21" x14ac:dyDescent="0.3">
      <c r="A6" s="361" t="s">
        <v>5</v>
      </c>
      <c r="B6" s="333"/>
      <c r="C6" s="333"/>
      <c r="D6" s="333"/>
    </row>
    <row r="7" spans="1:7" s="2" customFormat="1" ht="21" customHeight="1" thickBot="1" x14ac:dyDescent="0.25">
      <c r="A7" s="372" t="s">
        <v>17</v>
      </c>
      <c r="B7" s="373"/>
      <c r="C7" s="373"/>
      <c r="D7" s="374"/>
    </row>
    <row r="8" spans="1:7" s="2" customFormat="1" ht="68.25" customHeight="1" x14ac:dyDescent="0.2">
      <c r="A8" s="190" t="s">
        <v>317</v>
      </c>
      <c r="B8" s="191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8" s="192" t="s">
        <v>43</v>
      </c>
      <c r="D8" s="188"/>
    </row>
    <row r="9" spans="1:7" s="2" customFormat="1" ht="87.75" customHeight="1" x14ac:dyDescent="0.2">
      <c r="A9" s="41" t="s">
        <v>318</v>
      </c>
      <c r="B9" s="24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9" s="123" t="s">
        <v>43</v>
      </c>
      <c r="D9" s="189"/>
    </row>
    <row r="10" spans="1:7" s="2" customFormat="1" ht="79.5" customHeight="1" x14ac:dyDescent="0.2">
      <c r="A10" s="41" t="s">
        <v>339</v>
      </c>
      <c r="B10" s="26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123" t="s">
        <v>43</v>
      </c>
      <c r="D10" s="189"/>
    </row>
    <row r="11" spans="1:7" s="2" customFormat="1" ht="210" customHeight="1" x14ac:dyDescent="0.2">
      <c r="A11" s="42" t="s">
        <v>38</v>
      </c>
      <c r="B11" s="26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123" t="s">
        <v>43</v>
      </c>
      <c r="D11" s="189"/>
    </row>
    <row r="12" spans="1:7" s="2" customFormat="1" ht="103.5" customHeight="1" x14ac:dyDescent="0.2">
      <c r="A12" s="42" t="s">
        <v>170</v>
      </c>
      <c r="B12" s="278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123" t="s">
        <v>43</v>
      </c>
      <c r="D12" s="189"/>
    </row>
    <row r="13" spans="1:7" s="2" customFormat="1" ht="251.25" customHeight="1" x14ac:dyDescent="0.2">
      <c r="A13" s="41" t="s">
        <v>12</v>
      </c>
      <c r="B13" s="24" t="str">
        <f>IF(INTRO!$D$1=info!B45,info!C42,IF(INTRO!$D$1=info!B46,info!C46,IF(INTRO!$D$1=info!B47,info!C47,"ยังไม่ได้เลือกระดับการประเมินหลักสูตร")))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123" t="s">
        <v>43</v>
      </c>
      <c r="D13" s="189"/>
    </row>
    <row r="14" spans="1:7" s="2" customFormat="1" ht="344.25" customHeight="1" x14ac:dyDescent="0.2">
      <c r="A14" s="41" t="s">
        <v>13</v>
      </c>
      <c r="B14" s="24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123" t="s">
        <v>43</v>
      </c>
      <c r="D14" s="189"/>
    </row>
    <row r="15" spans="1:7" s="2" customFormat="1" ht="168.75" customHeight="1" x14ac:dyDescent="0.2">
      <c r="A15" s="41" t="s">
        <v>14</v>
      </c>
      <c r="B15" s="24" t="str">
        <f>IF(INTRO!$D$1=info!$B$51,info!$C$51,IF(INTRO!$D$1=info!$B$52,info!$C$52,IF(INTRO!$D$1=info!$B$53,info!$C$53,"ยังไม่ได้เลือกระดับการประเมินหลักสูตร")))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123" t="s">
        <v>43</v>
      </c>
      <c r="D15" s="189"/>
      <c r="E15"/>
      <c r="F15"/>
      <c r="G15"/>
    </row>
    <row r="16" spans="1:7" s="2" customFormat="1" ht="186.75" customHeight="1" x14ac:dyDescent="0.2">
      <c r="A16" s="41" t="s">
        <v>15</v>
      </c>
      <c r="B16" s="24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123" t="s">
        <v>43</v>
      </c>
      <c r="D16" s="189"/>
    </row>
    <row r="17" spans="1:4" s="2" customFormat="1" ht="61.5" customHeight="1" x14ac:dyDescent="0.2">
      <c r="A17" s="41" t="s">
        <v>335</v>
      </c>
      <c r="B17" s="24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123" t="s">
        <v>43</v>
      </c>
      <c r="D17" s="189"/>
    </row>
    <row r="18" spans="1:4" ht="27.75" customHeight="1" x14ac:dyDescent="0.3">
      <c r="A18" s="368" t="s">
        <v>42</v>
      </c>
      <c r="B18" s="369"/>
      <c r="C18" s="193" t="str">
        <f>IF(COUNTIF(C8:C17,"เลือก")=10,"",IF(COUNTIFS(B8:B17,"&lt;&gt;ไม่ประเมินในเกณฑ์นี้",C8:C17,"ผ่าน")+COUNTIFS(B8:B17,"&lt;&gt;ไม่ประเมินในเกณฑ์นี้",C8:C17,"ยกเว้น")&lt;info!H2,"ไม่ผ่าน","ผ่าน"))</f>
        <v/>
      </c>
      <c r="D18" s="375"/>
    </row>
    <row r="19" spans="1:4" ht="38.25" customHeight="1" thickBot="1" x14ac:dyDescent="0.35">
      <c r="A19" s="370" t="str">
        <f>IF(COUNTIF(C8:C17,"เลือก")=10,"","จำนวนข้อที่ผ่านเกณฑ์  ("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5,","")&amp;IF(AND(C13="ผ่าน",B13&lt;&gt;"ไม่ประเมินในเกณฑ์นี้"),"6,","")&amp;IF(AND(C14="ผ่าน",B14&lt;&gt;"ไม่ประเมินในเกณฑ์นี้"),"7,","")&amp;IF(AND(C15="ผ่าน",B15&lt;&gt;"ไม่ประเมินในเกณฑ์นี้"),"8,","")&amp;IF(AND(C16="ผ่าน",B16&lt;&gt;"ไม่ประเมินในเกณฑ์นี้"),"9,","")&amp;IF(AND(C17="ผ่าน",B17&lt;&gt;"ไม่ประเมินในเกณฑ์นี้"),"10","")&amp;" )")</f>
        <v/>
      </c>
      <c r="B19" s="371"/>
      <c r="C19" s="194" t="str">
        <f>IF(COUNTIF(C8:C17,"เลือก")=10,"",COUNTIFS(B8:B17,"&lt;&gt;ไม่ประเมินในเกณฑ์นี้",C8:C17,"ผ่าน"))</f>
        <v/>
      </c>
      <c r="D19" s="376"/>
    </row>
  </sheetData>
  <sheetProtection algorithmName="SHA-512" hashValue="A18hTvBH5n4sSdSYkgmke1azBqQsr/IH0mljRH9QoL8t1hQe9iOygo4Eqjr92FAbm34PBg2YNQJFqak/Ep+O5w==" saltValue="RB2L489ZKxtqF+l/Mdn9lQ==" spinCount="100000" sheet="1" formatCells="0"/>
  <mergeCells count="11">
    <mergeCell ref="A18:B18"/>
    <mergeCell ref="A19:B19"/>
    <mergeCell ref="A7:D7"/>
    <mergeCell ref="D18:D19"/>
    <mergeCell ref="A2:D2"/>
    <mergeCell ref="A3:D3"/>
    <mergeCell ref="A1:B1"/>
    <mergeCell ref="C1:D1"/>
    <mergeCell ref="A6:D6"/>
    <mergeCell ref="A4:B5"/>
    <mergeCell ref="D4:D5"/>
  </mergeCells>
  <conditionalFormatting sqref="D8:D17">
    <cfRule type="containsBlanks" dxfId="115" priority="26">
      <formula>LEN(TRIM(D8))=0</formula>
    </cfRule>
  </conditionalFormatting>
  <conditionalFormatting sqref="C8:C18">
    <cfRule type="cellIs" dxfId="114" priority="19" operator="equal">
      <formula>"เลือก"</formula>
    </cfRule>
    <cfRule type="cellIs" dxfId="113" priority="20" operator="equal">
      <formula>"ไม่ผ่าน"</formula>
    </cfRule>
    <cfRule type="cellIs" dxfId="112" priority="21" operator="equal">
      <formula>"ผ่าน"</formula>
    </cfRule>
  </conditionalFormatting>
  <conditionalFormatting sqref="C18:C19">
    <cfRule type="containsBlanks" dxfId="111" priority="17">
      <formula>LEN(TRIM(C18))=0</formula>
    </cfRule>
  </conditionalFormatting>
  <conditionalFormatting sqref="B10 B16:B17">
    <cfRule type="cellIs" dxfId="110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109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108" priority="12" operator="equal">
      <formula>"ยังไม่ได้เลือกระดับการประเมินหลักสูตร"</formula>
    </cfRule>
  </conditionalFormatting>
  <conditionalFormatting sqref="B15">
    <cfRule type="cellIs" dxfId="107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7">
    <cfRule type="cellIs" dxfId="106" priority="1" operator="equal">
      <formula>"ยกเว้น"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 B16:B17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opLeftCell="A19" zoomScale="85" zoomScaleNormal="85" workbookViewId="0">
      <selection activeCell="E40" sqref="E40"/>
    </sheetView>
  </sheetViews>
  <sheetFormatPr defaultColWidth="9" defaultRowHeight="18.75" x14ac:dyDescent="0.3"/>
  <cols>
    <col min="1" max="1" width="20.625" style="3" customWidth="1"/>
    <col min="2" max="2" width="44.375" style="3" customWidth="1"/>
    <col min="3" max="4" width="7.75" style="3" customWidth="1"/>
    <col min="5" max="6" width="8.375" style="3" customWidth="1"/>
    <col min="7" max="7" width="16.125" style="3" customWidth="1"/>
    <col min="8" max="16384" width="9" style="1"/>
  </cols>
  <sheetData>
    <row r="1" spans="1:7" ht="56.25" customHeight="1" thickBot="1" x14ac:dyDescent="0.35">
      <c r="A1" s="115" t="s">
        <v>192</v>
      </c>
      <c r="B1" s="379" t="str">
        <f>"ชื่อหลักสูตร  "&amp;IF(INTRO!C3="","",INTRO!C3)</f>
        <v xml:space="preserve">ชื่อหลักสูตร  </v>
      </c>
      <c r="C1" s="379"/>
      <c r="D1" s="379"/>
      <c r="E1" s="294"/>
      <c r="F1" s="115" t="str">
        <f>IF(INTRO!C2="","",INTRO!C2)</f>
        <v>เลือกคณะ</v>
      </c>
    </row>
    <row r="2" spans="1:7" ht="22.5" customHeight="1" x14ac:dyDescent="0.3">
      <c r="A2" s="388" t="s">
        <v>0</v>
      </c>
      <c r="B2" s="389"/>
      <c r="C2" s="394" t="s">
        <v>1</v>
      </c>
      <c r="D2" s="395"/>
      <c r="E2" s="395"/>
      <c r="F2" s="396"/>
      <c r="G2" s="386" t="s">
        <v>420</v>
      </c>
    </row>
    <row r="3" spans="1:7" ht="69" customHeight="1" x14ac:dyDescent="0.3">
      <c r="A3" s="390"/>
      <c r="B3" s="391"/>
      <c r="C3" s="46" t="s">
        <v>2</v>
      </c>
      <c r="D3" s="46" t="s">
        <v>3</v>
      </c>
      <c r="E3" s="46" t="s">
        <v>4</v>
      </c>
      <c r="F3" s="46" t="s">
        <v>63</v>
      </c>
      <c r="G3" s="387"/>
    </row>
    <row r="4" spans="1:7" ht="21" x14ac:dyDescent="0.3">
      <c r="A4" s="361" t="s">
        <v>5</v>
      </c>
      <c r="B4" s="333"/>
      <c r="C4" s="333"/>
      <c r="D4" s="333"/>
      <c r="E4" s="333"/>
      <c r="F4" s="333"/>
      <c r="G4" s="334"/>
    </row>
    <row r="5" spans="1:7" s="2" customFormat="1" ht="21.75" customHeight="1" x14ac:dyDescent="0.2">
      <c r="A5" s="392" t="s">
        <v>17</v>
      </c>
      <c r="B5" s="374"/>
      <c r="C5" s="374"/>
      <c r="D5" s="374"/>
      <c r="E5" s="374"/>
      <c r="F5" s="374"/>
      <c r="G5" s="393"/>
    </row>
    <row r="6" spans="1:7" s="2" customFormat="1" ht="40.5" x14ac:dyDescent="0.2">
      <c r="A6" s="41" t="s">
        <v>300</v>
      </c>
      <c r="B6" s="24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6" s="45"/>
      <c r="D6" s="45"/>
      <c r="E6" s="16" t="str">
        <f>IF(B6=info!$C$29,"",IF(KPI1.1!C8="เลือก","",IF(KPI1.1!C8="ยกเว้น","ยกเว้น",IF(KPI1.1!C8="ผ่าน","ผ่าน","ไม่ผ่าน"))))</f>
        <v/>
      </c>
      <c r="F6" s="45"/>
      <c r="G6" s="26" t="str">
        <f>IF(KPI1.1!D8="","",KPI1.1!D8)</f>
        <v/>
      </c>
    </row>
    <row r="7" spans="1:7" s="2" customFormat="1" ht="40.5" x14ac:dyDescent="0.2">
      <c r="A7" s="41" t="s">
        <v>301</v>
      </c>
      <c r="B7" s="24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7" s="45"/>
      <c r="D7" s="45"/>
      <c r="E7" s="16" t="str">
        <f>IF(B7=info!$C$29,"",IF(KPI1.1!C9="เลือก","",IF(KPI1.1!C9="ยกเว้น","ยกเว้น",IF(KPI1.1!C9="ผ่าน","ผ่าน","ไม่ผ่าน"))))</f>
        <v/>
      </c>
      <c r="F7" s="45"/>
      <c r="G7" s="26" t="str">
        <f>IF(KPI1.1!D9="","",KPI1.1!D9)</f>
        <v/>
      </c>
    </row>
    <row r="8" spans="1:7" s="2" customFormat="1" ht="91.5" customHeight="1" x14ac:dyDescent="0.2">
      <c r="A8" s="41" t="s">
        <v>339</v>
      </c>
      <c r="B8" s="24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8" s="45"/>
      <c r="D8" s="45"/>
      <c r="E8" s="16" t="str">
        <f>IF(B8=info!$C$29,"",IF(KPI1.1!C10="เลือก","",IF(KPI1.1!C10="ยกเว้น","ยกเว้น",IF(KPI1.1!C10="ผ่าน","ผ่าน","ไม่ผ่าน"))))</f>
        <v/>
      </c>
      <c r="F8" s="45"/>
      <c r="G8" s="26" t="str">
        <f>IF(KPI1.1!D10="","",KPI1.1!D10)</f>
        <v/>
      </c>
    </row>
    <row r="9" spans="1:7" s="2" customFormat="1" ht="210" customHeight="1" x14ac:dyDescent="0.2">
      <c r="A9" s="41" t="s">
        <v>38</v>
      </c>
      <c r="B9" s="24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9" s="45"/>
      <c r="D9" s="45"/>
      <c r="E9" s="16" t="str">
        <f>IF(B9=info!$C$29,"",IF(KPI1.1!C11="เลือก","",IF(KPI1.1!C11="ยกเว้น","ยกเว้น",IF(KPI1.1!C11="ผ่าน","ผ่าน","ไม่ผ่าน"))))</f>
        <v/>
      </c>
      <c r="F9" s="45"/>
      <c r="G9" s="26" t="str">
        <f>IF(KPI1.1!D11="","",KPI1.1!D11)</f>
        <v/>
      </c>
    </row>
    <row r="10" spans="1:7" s="2" customFormat="1" ht="109.5" customHeight="1" x14ac:dyDescent="0.2">
      <c r="A10" s="41" t="s">
        <v>37</v>
      </c>
      <c r="B10" s="24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45"/>
      <c r="D10" s="45"/>
      <c r="E10" s="16" t="str">
        <f>IF(B10=info!$C$29,"",IF(KPI1.1!C12="เลือก","",IF(KPI1.1!C12="ยกเว้น","ยกเว้น",IF(KPI1.1!C12="ผ่าน","ผ่าน","ไม่ผ่าน"))))</f>
        <v/>
      </c>
      <c r="F10" s="45"/>
      <c r="G10" s="26" t="str">
        <f>IF(KPI1.1!D12="","",KPI1.1!D12)</f>
        <v/>
      </c>
    </row>
    <row r="11" spans="1:7" s="2" customFormat="1" ht="112.5" customHeight="1" x14ac:dyDescent="0.2">
      <c r="A11" s="41" t="s">
        <v>12</v>
      </c>
      <c r="B11" s="24" t="str">
        <f>IF(INTRO!$D$1=info!B45,info!C42,IF(INTRO!$D$1=info!B46,info!C46,IF(INTRO!$D$1=info!B47,info!C47,"ยังไม่ได้เลือกระดับการประเมินหลักสูตร")))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45"/>
      <c r="D11" s="45"/>
      <c r="E11" s="16" t="str">
        <f>IF(B11=info!$C$29,"",IF(KPI1.1!C13="เลือก","",IF(KPI1.1!C13="ยกเว้น","ยกเว้น",IF(KPI1.1!C13="ผ่าน","ผ่าน","ไม่ผ่าน"))))</f>
        <v/>
      </c>
      <c r="F11" s="45"/>
      <c r="G11" s="26" t="str">
        <f>IF(KPI1.1!D13="","",KPI1.1!D13)</f>
        <v/>
      </c>
    </row>
    <row r="12" spans="1:7" s="2" customFormat="1" ht="316.5" customHeight="1" x14ac:dyDescent="0.2">
      <c r="A12" s="41" t="s">
        <v>13</v>
      </c>
      <c r="B12" s="24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45"/>
      <c r="D12" s="45"/>
      <c r="E12" s="16" t="str">
        <f>IF(B12=info!$C$29,"",IF(KPI1.1!C14="เลือก","",IF(KPI1.1!C14="ยกเว้น","ยกเว้น",IF(KPI1.1!C14="ผ่าน","ผ่าน","ไม่ผ่าน"))))</f>
        <v/>
      </c>
      <c r="F12" s="45"/>
      <c r="G12" s="26" t="str">
        <f>IF(KPI1.1!D14="","",KPI1.1!D14)</f>
        <v/>
      </c>
    </row>
    <row r="13" spans="1:7" s="2" customFormat="1" ht="40.5" x14ac:dyDescent="0.2">
      <c r="A13" s="41" t="s">
        <v>14</v>
      </c>
      <c r="B13" s="24" t="str">
        <f>IF(INTRO!$D$1=info!B51,info!C51,IF(INTRO!$D$1=info!B52,info!C52,IF(INTRO!$D$1=info!B53,info!C53,"ยังไม่ได้เลือกระดับการประเมินหลักสูตร")))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45"/>
      <c r="D13" s="45"/>
      <c r="E13" s="16" t="str">
        <f>IF(B13=info!$C$29,"",IF(KPI1.1!C15="เลือก","",IF(KPI1.1!C15="ยกเว้น","ยกเว้น",IF(KPI1.1!C15="ผ่าน","ผ่าน","ไม่ผ่าน"))))</f>
        <v/>
      </c>
      <c r="F13" s="45"/>
      <c r="G13" s="26" t="str">
        <f>IF(KPI1.1!D15="","",KPI1.1!D15)</f>
        <v/>
      </c>
    </row>
    <row r="14" spans="1:7" s="2" customFormat="1" ht="184.5" customHeight="1" x14ac:dyDescent="0.2">
      <c r="A14" s="41" t="s">
        <v>15</v>
      </c>
      <c r="B14" s="24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45"/>
      <c r="D14" s="45"/>
      <c r="E14" s="16" t="str">
        <f>IF(B14=info!$C$29,"",IF(KPI1.1!C16="เลือก","",IF(KPI1.1!C16="ยกเว้น","ยกเว้น",IF(KPI1.1!C16="ผ่าน","ผ่าน","ไม่ผ่าน"))))</f>
        <v/>
      </c>
      <c r="F14" s="45"/>
      <c r="G14" s="26" t="str">
        <f>IF(KPI1.1!D16="","",KPI1.1!D16)</f>
        <v/>
      </c>
    </row>
    <row r="15" spans="1:7" s="2" customFormat="1" ht="50.25" customHeight="1" x14ac:dyDescent="0.2">
      <c r="A15" s="41" t="s">
        <v>335</v>
      </c>
      <c r="B15" s="24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45"/>
      <c r="D15" s="45"/>
      <c r="E15" s="16" t="str">
        <f>IF(B15=info!$C$29,"",IF(KPI1.1!C17="เลือก","",IF(KPI1.1!C17="ยกเว้น","ยกเว้น",IF(KPI1.1!C17="ผ่าน","ผ่าน","ไม่ผ่าน"))))</f>
        <v/>
      </c>
      <c r="F15" s="45"/>
      <c r="G15" s="26" t="str">
        <f>IF(KPI1.1!D17="","",KPI1.1!D17)</f>
        <v/>
      </c>
    </row>
    <row r="16" spans="1:7" ht="21.75" customHeight="1" x14ac:dyDescent="0.3">
      <c r="A16" s="383" t="s">
        <v>76</v>
      </c>
      <c r="B16" s="384"/>
      <c r="C16" s="384"/>
      <c r="D16" s="384"/>
      <c r="E16" s="384"/>
      <c r="F16" s="384"/>
      <c r="G16" s="385"/>
    </row>
    <row r="17" spans="1:7" ht="21" x14ac:dyDescent="0.3">
      <c r="A17" s="361" t="s">
        <v>5</v>
      </c>
      <c r="B17" s="333"/>
      <c r="C17" s="333"/>
      <c r="D17" s="333"/>
      <c r="E17" s="333"/>
      <c r="F17" s="333"/>
      <c r="G17" s="334"/>
    </row>
    <row r="18" spans="1:7" s="2" customFormat="1" ht="21.75" customHeight="1" x14ac:dyDescent="0.2">
      <c r="A18" s="125" t="s">
        <v>17</v>
      </c>
      <c r="B18" s="92"/>
      <c r="C18" s="45"/>
      <c r="D18" s="45"/>
      <c r="E18" s="309" t="str">
        <f>IF(COUNTBLANK(E6:E15)=11,"",IF(COUNTIFS(E6:E15,"&lt;&gt;ไม่ประเมินในเกณฑ์นี้",E6:E15,"ผ่าน")+COUNTIFS(E6:E15,"&lt;&gt;ไม่ประเมินในเกณฑ์นี้",E6:E15,"ยกเว้น")&lt;info!H2,"ไม่ผ่าน","ผ่าน"))</f>
        <v>ไม่ผ่าน</v>
      </c>
      <c r="F18" s="45"/>
      <c r="G18" s="26" t="str">
        <f>IF(KPI1.1!D18="","",KPI1.1!D18)</f>
        <v/>
      </c>
    </row>
    <row r="19" spans="1:7" ht="22.5" customHeight="1" x14ac:dyDescent="0.3">
      <c r="A19" s="126" t="s">
        <v>7</v>
      </c>
      <c r="B19" s="47"/>
      <c r="C19" s="47"/>
      <c r="D19" s="47"/>
      <c r="E19" s="47"/>
      <c r="F19" s="47"/>
      <c r="G19" s="223"/>
    </row>
    <row r="20" spans="1:7" ht="39.75" customHeight="1" x14ac:dyDescent="0.3">
      <c r="A20" s="125" t="s">
        <v>44</v>
      </c>
      <c r="B20" s="26"/>
      <c r="C20" s="27">
        <f>IF(CDS!C8="","",IF(CDS!C14&gt;=20,CDS!C7,))</f>
        <v>0</v>
      </c>
      <c r="D20" s="27">
        <f>IF(CDS!C8="","",IF(CDS!C8&gt;=20,CDS!C6,))</f>
        <v>0</v>
      </c>
      <c r="E20" s="28">
        <f>IF(COUNTBLANK(C20:D20)=2,"",IF(ISERROR(C20/D20),,C20/D20))</f>
        <v>0</v>
      </c>
      <c r="F20" s="28">
        <f>IF(E20="","",IF(ISERROR(C20/D20),,IF(C20/D20&gt;5,5,C20/D20)))</f>
        <v>0</v>
      </c>
      <c r="G20" s="26"/>
    </row>
    <row r="21" spans="1:7" ht="47.25" customHeight="1" x14ac:dyDescent="0.3">
      <c r="A21" s="127" t="s">
        <v>8</v>
      </c>
      <c r="B21" s="64" t="str">
        <f>IF(INTRO!$D$1=info!B66,info!C66,IF(INTRO!$D$1=info!B67,info!C67,IF(INTRO!$D$1=info!B68,info!C68,"ยังไม่ได้เลือกระดับการประเมินหลักสูตร")))</f>
        <v>ยังไม่ได้เลือกระดับการประเมินหลักสูตร</v>
      </c>
      <c r="C21" s="27" t="str">
        <f>IF(INTRO!$D$1=info!C9,"",IF(INTRO!$D$1=info!C10,IF(CDS!C58="","",CDS!C58),IF(INTRO!$D$1=info!C11,IF(CDS!C37="","",CDS!C37),IF(INTRO!$D$1=info!C12,IF(CDS!C11="","",CDS!C11),"N/A"))))</f>
        <v/>
      </c>
      <c r="D21" s="27" t="str">
        <f>IF(INTRO!$D$1=info!C9,"",IF(INTRO!$D$1=info!C10,IF(CDS!C39="","",CDS!C39),IF(INTRO!$D$1=info!C11,IF(CDS!C17="","",CDS!C17),IF(INTRO!$D$1=info!C12,IF(CDS!C10="","",CDS!C10-CDS!C12),"N/A"))))</f>
        <v/>
      </c>
      <c r="E21" s="28" t="str">
        <f>IF(INTRO!$D$1=info!C9,"",IF(INTRO!$D$1=info!C10,IF(COUNTBLANK(C21:D21)=2,"",IF(ISERROR(C21*100/D21),,C21*100/D21)),IF(INTRO!$D$1=info!C11,IF(COUNTBLANK(C21:D21)=2,"",IF(ISERROR(C21*100/D21),,C21*100/D21)),IF(INTRO!$D$1=info!C12,IF(COUNTBLANK(C21:D21)=2,"",IF(ISERROR(C21*100/D21),,C21*100/D21)),"N/A"))))</f>
        <v/>
      </c>
      <c r="F21" s="28" t="str">
        <f>IF(INTRO!$D$1=info!C9,"",IF(INTRO!$D$1=info!C10,IF(E21="","",IF(ISERROR(E21*5/80),,IF(E21*5/80&gt;5,5,E21*5/80))),IF(INTRO!$D$1=info!C11,IF(E21="","",IF(ISERROR(E21*5/40),,IF(E21*5/40&gt;5,5,E21*5/40))),IF(INTRO!$D$1=info!C12,IF(CDS!C15&lt;70,,IF(E21="","",IF(ISERROR(E21*5/100),,IF(E21*5/100&gt;5,5,E21*5/100)))),))))</f>
        <v/>
      </c>
      <c r="G21" s="26"/>
    </row>
    <row r="22" spans="1:7" ht="21" x14ac:dyDescent="0.3">
      <c r="A22" s="126" t="s">
        <v>9</v>
      </c>
      <c r="B22" s="47"/>
      <c r="C22" s="47"/>
      <c r="D22" s="47"/>
      <c r="E22" s="47"/>
      <c r="F22" s="47"/>
      <c r="G22" s="223"/>
    </row>
    <row r="23" spans="1:7" ht="20.25" x14ac:dyDescent="0.3">
      <c r="A23" s="128" t="s">
        <v>270</v>
      </c>
      <c r="B23" s="43"/>
      <c r="C23" s="66"/>
      <c r="D23" s="83"/>
      <c r="E23" s="313" t="s">
        <v>43</v>
      </c>
      <c r="F23" s="28" t="str">
        <f t="shared" ref="F23:F27" si="0">IF(E23="เลือก","",E23)</f>
        <v/>
      </c>
      <c r="G23" s="65"/>
    </row>
    <row r="24" spans="1:7" ht="20.25" x14ac:dyDescent="0.3">
      <c r="A24" s="128" t="s">
        <v>271</v>
      </c>
      <c r="B24" s="43"/>
      <c r="C24" s="66"/>
      <c r="D24" s="83"/>
      <c r="E24" s="313" t="s">
        <v>43</v>
      </c>
      <c r="F24" s="28" t="str">
        <f t="shared" si="0"/>
        <v/>
      </c>
      <c r="G24" s="65"/>
    </row>
    <row r="25" spans="1:7" ht="20.25" x14ac:dyDescent="0.3">
      <c r="A25" s="128" t="s">
        <v>272</v>
      </c>
      <c r="B25" s="43"/>
      <c r="C25" s="66"/>
      <c r="D25" s="83"/>
      <c r="E25" s="313" t="s">
        <v>43</v>
      </c>
      <c r="F25" s="28" t="str">
        <f t="shared" si="0"/>
        <v/>
      </c>
      <c r="G25" s="65"/>
    </row>
    <row r="26" spans="1:7" ht="21" x14ac:dyDescent="0.3">
      <c r="A26" s="126" t="s">
        <v>323</v>
      </c>
      <c r="B26" s="47"/>
      <c r="C26" s="47"/>
      <c r="D26" s="47"/>
      <c r="E26" s="47"/>
      <c r="F26" s="47"/>
      <c r="G26" s="223"/>
    </row>
    <row r="27" spans="1:7" ht="20.25" x14ac:dyDescent="0.3">
      <c r="A27" s="127" t="s">
        <v>100</v>
      </c>
      <c r="B27" s="44"/>
      <c r="C27" s="66"/>
      <c r="D27" s="83"/>
      <c r="E27" s="313" t="s">
        <v>43</v>
      </c>
      <c r="F27" s="28" t="str">
        <f t="shared" si="0"/>
        <v/>
      </c>
      <c r="G27" s="65"/>
    </row>
    <row r="28" spans="1:7" ht="20.25" x14ac:dyDescent="0.3">
      <c r="A28" s="127" t="s">
        <v>101</v>
      </c>
      <c r="B28" s="44"/>
      <c r="C28" s="27"/>
      <c r="D28" s="27"/>
      <c r="E28" s="28"/>
      <c r="F28" s="28" t="str">
        <f>IF(COUNTBLANK(F29:F32)=4,"", IF(ISERROR(AVERAGE(F29:F32)),,AVERAGE(F29:F32)))</f>
        <v/>
      </c>
      <c r="G28" s="65"/>
    </row>
    <row r="29" spans="1:7" ht="20.25" x14ac:dyDescent="0.3">
      <c r="A29" s="399" t="s">
        <v>302</v>
      </c>
      <c r="B29" s="400"/>
      <c r="C29" s="28" t="str">
        <f>IF(CDS!C61="","",CDS!C61)</f>
        <v/>
      </c>
      <c r="D29" s="28" t="str">
        <f>IF(CDS!C62="","",CDS!C62)</f>
        <v/>
      </c>
      <c r="E29" s="28" t="str">
        <f>IF(COUNTBLANK(C29:D29)=2,"",IF(ISERROR(C29*100/D29),,C29*100/D29))</f>
        <v/>
      </c>
      <c r="F29" s="28" t="str">
        <f>IF(INTRO!$D$1=info!C9,"",IF(INTRO!$D$1=info!C10,IF(E29="","",IF(ISERROR(E29*5/100),,IF(E29*5/100&gt;5,5,E29*5/100))),IF(INTRO!$D$1=info!C11,IF(E29="","",IF(ISERROR(E29*5/60),,IF(E29*5/60&gt;5,5,E29*5/60))),IF(INTRO!$D$1=info!C12,IF(E29="","",IF(ISERROR(E29*5/20),,IF(E29*5/20&gt;5,5,E29*5/20))),))))</f>
        <v/>
      </c>
      <c r="G29" s="65"/>
    </row>
    <row r="30" spans="1:7" ht="20.25" x14ac:dyDescent="0.3">
      <c r="A30" s="399" t="s">
        <v>303</v>
      </c>
      <c r="B30" s="400"/>
      <c r="C30" s="28" t="str">
        <f>IF(CDS!C66="","",CDS!C66)</f>
        <v/>
      </c>
      <c r="D30" s="28" t="str">
        <f>IF(CDS!C62="","",CDS!C62)</f>
        <v/>
      </c>
      <c r="E30" s="28" t="str">
        <f>IF(COUNTBLANK(C30:D30)=2,"",IF(ISERROR(C30*100/D30),,C30*100/D30))</f>
        <v/>
      </c>
      <c r="F30" s="28" t="str">
        <f>IF(INTRO!$D$1=info!C9,"",IF(INTRO!$D$1=info!C10,IF(E30="","",IF(ISERROR(E30*5/100),,IF(E30*5/100&gt;5,5,E30*5/100))),IF(INTRO!$D$1=info!C11,IF(E30="","",IF(ISERROR(E30*5/80),,IF(E30*5/80&gt;5,5,E30*5/80))),IF(INTRO!$D$1=info!C12,IF(E30="","",IF(ISERROR(E30*5/60),,IF(E30*5/60&gt;5,5,E30*5/60))),))))</f>
        <v/>
      </c>
      <c r="G30" s="65"/>
    </row>
    <row r="31" spans="1:7" ht="20.25" x14ac:dyDescent="0.3">
      <c r="A31" s="399" t="s">
        <v>304</v>
      </c>
      <c r="B31" s="400"/>
      <c r="C31" s="28" t="str">
        <f>IF(CDS!C102="","",CDS!C102)</f>
        <v/>
      </c>
      <c r="D31" s="28" t="str">
        <f>IF(CDS!C62="","",CDS!C62)</f>
        <v/>
      </c>
      <c r="E31" s="28" t="str">
        <f>IF(COUNTBLANK(C31:D31)=2,"",IF(ISERROR(C31*100/D31),,C31*100/D31))</f>
        <v/>
      </c>
      <c r="F31" s="28" t="str">
        <f>IF(E31="","",IF(INTRO!$D$1=info!$C$9,"",IF(INTRO!$D$1=info!$C$10,IF(E31="","",IF(ISERROR(E31*5/60),,IF(E31*5/60&gt;5,5,E31*5/60))),IF(INTRO!$D$1=info!$C$11,IF(E31="","",IF(ISERROR(E31*5/40),,IF(E31*5/40&gt;5,5,E31*5/40))),IF(INTRO!$D$1=info!$C$12,IF(E31="","",IF(ISERROR(E31*5/20),,IF(E31*5/20&gt;5,5,E31*5/20))),)))))</f>
        <v/>
      </c>
      <c r="G31" s="65"/>
    </row>
    <row r="32" spans="1:7" ht="48" customHeight="1" x14ac:dyDescent="0.3">
      <c r="A32" s="401" t="s">
        <v>305</v>
      </c>
      <c r="B32" s="402"/>
      <c r="C32" s="28" t="str">
        <f>IF(INTRO!$D$1=info!$C$10,IF(CDS!C104="","",CDS!C104),"")</f>
        <v/>
      </c>
      <c r="D32" s="28" t="str">
        <f>IF(INTRO!$D$1=info!$C$10,IF(CDS!C105="","",CDS!C105),"")</f>
        <v/>
      </c>
      <c r="E32" s="28" t="str">
        <f>IF(INTRO!$D$1=info!$C$10,IF(COUNTBLANK(C32:D32)=2,"",IF(ISERROR(C32/D32),,C32/D32)),"")</f>
        <v/>
      </c>
      <c r="F32" s="28" t="str">
        <f>IF(E32="","",IF(INTRO!G2=info!C15,IF(ISERROR(E32*5/2.5),,IF(E32*5/2.5&gt;5,5,E32*5/2.5)),IF(INTRO!G2=info!C16,IF(ISERROR(E32*5/3),,IF(E32*5/3&gt;5,5,E32*5/3)),IF(INTRO!G2=info!C17,IF(ISERROR(E32*5/0.25),,IF(E32*5/0.25&gt;5,5,E32*5/0.25)),""))))</f>
        <v/>
      </c>
      <c r="G32" s="65"/>
    </row>
    <row r="33" spans="1:7" ht="20.25" x14ac:dyDescent="0.3">
      <c r="A33" s="127" t="s">
        <v>102</v>
      </c>
      <c r="B33" s="44"/>
      <c r="C33" s="66"/>
      <c r="D33" s="83"/>
      <c r="E33" s="313" t="s">
        <v>43</v>
      </c>
      <c r="F33" s="28" t="str">
        <f>IF(E33="เลือก","",E33)</f>
        <v/>
      </c>
      <c r="G33" s="65"/>
    </row>
    <row r="34" spans="1:7" ht="21" x14ac:dyDescent="0.3">
      <c r="A34" s="126" t="s">
        <v>10</v>
      </c>
      <c r="B34" s="47"/>
      <c r="C34" s="47"/>
      <c r="D34" s="47"/>
      <c r="E34" s="47"/>
      <c r="F34" s="47"/>
      <c r="G34" s="223"/>
    </row>
    <row r="35" spans="1:7" ht="20.25" x14ac:dyDescent="0.3">
      <c r="A35" s="127" t="s">
        <v>103</v>
      </c>
      <c r="B35" s="44"/>
      <c r="C35" s="66"/>
      <c r="D35" s="83"/>
      <c r="E35" s="313" t="s">
        <v>43</v>
      </c>
      <c r="F35" s="28" t="str">
        <f t="shared" ref="F35:F37" si="1">IF(E35="เลือก","",E35)</f>
        <v/>
      </c>
      <c r="G35" s="65"/>
    </row>
    <row r="36" spans="1:7" ht="20.25" x14ac:dyDescent="0.3">
      <c r="A36" s="127" t="s">
        <v>104</v>
      </c>
      <c r="B36" s="93"/>
      <c r="C36" s="66"/>
      <c r="D36" s="83"/>
      <c r="E36" s="313" t="s">
        <v>43</v>
      </c>
      <c r="F36" s="28" t="str">
        <f t="shared" si="1"/>
        <v/>
      </c>
      <c r="G36" s="65"/>
    </row>
    <row r="37" spans="1:7" ht="20.25" x14ac:dyDescent="0.3">
      <c r="A37" s="127" t="s">
        <v>105</v>
      </c>
      <c r="B37" s="44"/>
      <c r="C37" s="66"/>
      <c r="D37" s="83"/>
      <c r="E37" s="313" t="s">
        <v>43</v>
      </c>
      <c r="F37" s="28" t="str">
        <f t="shared" si="1"/>
        <v/>
      </c>
      <c r="G37" s="65"/>
    </row>
    <row r="38" spans="1:7" ht="27" customHeight="1" x14ac:dyDescent="0.3">
      <c r="A38" s="127" t="s">
        <v>106</v>
      </c>
      <c r="B38" s="93"/>
      <c r="C38" s="66"/>
      <c r="D38" s="83"/>
      <c r="E38" s="28" t="str">
        <f>IF(TQF!C22="","",TQF!C22)</f>
        <v/>
      </c>
      <c r="F38" s="28" t="str">
        <f>IF(E38="","",IF(E38&lt;80,,IF(AND(E38&gt;80,E38&lt;90),4,IF(AND(E38&gt;=90,E38&lt;95),4.5,IF(AND(E38&gt;=95,,100),4.75,IF(E38&gt;=100,5,))))))</f>
        <v/>
      </c>
      <c r="G38" s="65"/>
    </row>
    <row r="39" spans="1:7" ht="21" x14ac:dyDescent="0.3">
      <c r="A39" s="126" t="s">
        <v>11</v>
      </c>
      <c r="B39" s="47"/>
      <c r="C39" s="47"/>
      <c r="D39" s="47"/>
      <c r="E39" s="47"/>
      <c r="F39" s="47"/>
      <c r="G39" s="223"/>
    </row>
    <row r="40" spans="1:7" ht="21" thickBot="1" x14ac:dyDescent="0.35">
      <c r="A40" s="129" t="s">
        <v>107</v>
      </c>
      <c r="B40" s="130"/>
      <c r="C40" s="131"/>
      <c r="D40" s="132"/>
      <c r="E40" s="313" t="s">
        <v>43</v>
      </c>
      <c r="F40" s="136" t="str">
        <f t="shared" ref="F40" si="2">IF(E40="เลือก","",E40)</f>
        <v/>
      </c>
      <c r="G40" s="133"/>
    </row>
    <row r="41" spans="1:7" ht="20.25" customHeight="1" x14ac:dyDescent="0.3">
      <c r="A41" s="380" t="str">
        <f>"คะแนนเฉลี่ยตัวบ่งชี้ องค์ประกอบที่ 2 - 6  ( จำนวน "  &amp;E42&amp; "  ตัวบ่งชี้)"</f>
        <v>คะแนนเฉลี่ยตัวบ่งชี้ องค์ประกอบที่ 2 - 6  ( จำนวน 1  ตัวบ่งชี้)</v>
      </c>
      <c r="B41" s="381"/>
      <c r="C41" s="381"/>
      <c r="D41" s="382"/>
      <c r="E41" s="168">
        <f>IF(COUNTBLANK(F20:F21)+COUNTBLANK(F23:F25)+COUNTBLANK(F27)+COUNTBLANK(F28)+COUNTBLANK(F33)+COUNTBLANK(F35:F38)+COUNTBLANK(F40)=13,"",SUM(F20:F21,F23:F25,F27,F28,F33,F35:F38,F40))</f>
        <v>0</v>
      </c>
      <c r="F41" s="403">
        <f>IF(E18="ไม่ผ่าน",,IF(OR(ISBLANK(E41),ISBLANK(E42)),"",IF(ISERROR(E41/E42),"",E41/E42)))</f>
        <v>0</v>
      </c>
      <c r="G41" s="397" t="str">
        <f>IF(F41="","",IF(AND(F41&gt;0,F41&lt;2.01),"หลักสูตรเป็นไปตามมาตรฐาน และมีระดับคุณภาพน้อย",IF(AND(F41&gt;2,F41&lt;3.01),"หลักสูตรเป็นไปตามมาตรฐาน และมีระดับคุณภาพปานกลาง",IF(AND(F41&gt;3,F41&lt;4.01),"หลักสูตรเป็นไปตามมาตรฐาน และมีระดับคุณภาพดี",IF(AND(F41&gt;4,F41&lt;5.01),"หลักสูตรเป็นไปตามมาตรฐาน และมีระดับคุณภาพดีมาก",IF(F41&gt;5,"ข้อมูลไม่ถูกต้อง คะแนนเต็ม 5.00 คะแนน","หลักสูตรไม่เป็นไปตามมาตรฐาน"))))))</f>
        <v>หลักสูตรไม่เป็นไปตามมาตรฐาน</v>
      </c>
    </row>
    <row r="42" spans="1:7" ht="36.75" customHeight="1" thickBot="1" x14ac:dyDescent="0.35">
      <c r="A42" s="171"/>
      <c r="B42" s="172"/>
      <c r="C42" s="172"/>
      <c r="D42" s="173"/>
      <c r="E42" s="169">
        <f>IF(COUNTBLANK(F20:F21)+COUNTBLANK(F23:F25)+COUNTBLANK(F27)+COUNTBLANK(F28)+COUNTBLANK(F33)+COUNTBLANK(F35:F38)+COUNTBLANK(F40)=13,"",COUNT(F20:F21,F23:F25,F27,F28,F33,F35:F38,F40))</f>
        <v>1</v>
      </c>
      <c r="F42" s="404"/>
      <c r="G42" s="398"/>
    </row>
    <row r="44" spans="1:7" x14ac:dyDescent="0.3">
      <c r="F44" s="224"/>
    </row>
  </sheetData>
  <sheetProtection algorithmName="SHA-512" hashValue="2fcvoZ3IDRaCYia4f78LMyogGbQJ5wXMhyIM+rbjjI4JQ1ygiMKBoevbFnulzHOTuGgvutMQ3ts74SbeZW1Dmw==" saltValue="+U+PcB4oXRRTVbWp5zyaKg==" spinCount="100000" sheet="1" objects="1" scenarios="1"/>
  <mergeCells count="15">
    <mergeCell ref="B1:D1"/>
    <mergeCell ref="A41:D41"/>
    <mergeCell ref="A16:G16"/>
    <mergeCell ref="A17:G17"/>
    <mergeCell ref="G2:G3"/>
    <mergeCell ref="A2:B3"/>
    <mergeCell ref="A4:G4"/>
    <mergeCell ref="A5:G5"/>
    <mergeCell ref="C2:F2"/>
    <mergeCell ref="G41:G42"/>
    <mergeCell ref="A29:B29"/>
    <mergeCell ref="A30:B30"/>
    <mergeCell ref="A32:B32"/>
    <mergeCell ref="A31:B31"/>
    <mergeCell ref="F41:F42"/>
  </mergeCells>
  <conditionalFormatting sqref="B6:B15">
    <cfRule type="cellIs" dxfId="102" priority="101" operator="equal">
      <formula>"ยังไม่ได้เลือกระดับการประเมินหลักสูตร"</formula>
    </cfRule>
  </conditionalFormatting>
  <conditionalFormatting sqref="E6:F15">
    <cfRule type="cellIs" dxfId="101" priority="99" operator="equal">
      <formula>"ไม่ผ่าน"</formula>
    </cfRule>
    <cfRule type="cellIs" dxfId="100" priority="100" operator="equal">
      <formula>"ผ่าน"</formula>
    </cfRule>
  </conditionalFormatting>
  <conditionalFormatting sqref="G20:G21">
    <cfRule type="containsBlanks" dxfId="99" priority="98">
      <formula>LEN(TRIM(G20))=0</formula>
    </cfRule>
  </conditionalFormatting>
  <conditionalFormatting sqref="B21">
    <cfRule type="cellIs" dxfId="98" priority="97" operator="equal">
      <formula>"ยังไม่ได้เลือกระดับการประเมินหลักสูตร"</formula>
    </cfRule>
  </conditionalFormatting>
  <conditionalFormatting sqref="C29:F32 E6:E15">
    <cfRule type="containsBlanks" dxfId="97" priority="95">
      <formula>LEN(TRIM(C6))=0</formula>
    </cfRule>
  </conditionalFormatting>
  <conditionalFormatting sqref="C20:F21">
    <cfRule type="containsBlanks" dxfId="96" priority="94">
      <formula>LEN(TRIM(C20))=0</formula>
    </cfRule>
  </conditionalFormatting>
  <conditionalFormatting sqref="G6:G15">
    <cfRule type="containsBlanks" dxfId="95" priority="56">
      <formula>LEN(TRIM(G6))=0</formula>
    </cfRule>
    <cfRule type="containsBlanks" dxfId="94" priority="93">
      <formula>LEN(TRIM(G6))=0</formula>
    </cfRule>
  </conditionalFormatting>
  <conditionalFormatting sqref="G20:G21">
    <cfRule type="containsBlanks" dxfId="93" priority="55">
      <formula>LEN(TRIM(G20))=0</formula>
    </cfRule>
    <cfRule type="containsBlanks" dxfId="92" priority="90">
      <formula>LEN(TRIM(G20))=0</formula>
    </cfRule>
  </conditionalFormatting>
  <conditionalFormatting sqref="G27:G32">
    <cfRule type="containsBlanks" dxfId="91" priority="84">
      <formula>LEN(TRIM(G27))=0</formula>
    </cfRule>
  </conditionalFormatting>
  <conditionalFormatting sqref="G33">
    <cfRule type="containsBlanks" dxfId="90" priority="74">
      <formula>LEN(TRIM(G33))=0</formula>
    </cfRule>
  </conditionalFormatting>
  <conditionalFormatting sqref="G27:G32">
    <cfRule type="containsBlanks" dxfId="89" priority="85">
      <formula>LEN(TRIM(G27))=0</formula>
    </cfRule>
  </conditionalFormatting>
  <conditionalFormatting sqref="G33">
    <cfRule type="containsBlanks" dxfId="88" priority="75">
      <formula>LEN(TRIM(G33))=0</formula>
    </cfRule>
  </conditionalFormatting>
  <conditionalFormatting sqref="G35:G38">
    <cfRule type="containsBlanks" dxfId="87" priority="71">
      <formula>LEN(TRIM(G35))=0</formula>
    </cfRule>
  </conditionalFormatting>
  <conditionalFormatting sqref="G35:G38">
    <cfRule type="containsBlanks" dxfId="86" priority="70">
      <formula>LEN(TRIM(G35))=0</formula>
    </cfRule>
  </conditionalFormatting>
  <conditionalFormatting sqref="G40">
    <cfRule type="containsBlanks" dxfId="85" priority="67">
      <formula>LEN(TRIM(G40))=0</formula>
    </cfRule>
  </conditionalFormatting>
  <conditionalFormatting sqref="G40">
    <cfRule type="containsBlanks" dxfId="84" priority="66">
      <formula>LEN(TRIM(G40))=0</formula>
    </cfRule>
  </conditionalFormatting>
  <conditionalFormatting sqref="C28:F28">
    <cfRule type="containsBlanks" dxfId="83" priority="49">
      <formula>LEN(TRIM(C28))=0</formula>
    </cfRule>
  </conditionalFormatting>
  <conditionalFormatting sqref="G23:G25">
    <cfRule type="containsBlanks" dxfId="82" priority="53">
      <formula>LEN(TRIM(G23))=0</formula>
    </cfRule>
  </conditionalFormatting>
  <conditionalFormatting sqref="G23:G25">
    <cfRule type="containsBlanks" dxfId="81" priority="52">
      <formula>LEN(TRIM(G23))=0</formula>
    </cfRule>
  </conditionalFormatting>
  <conditionalFormatting sqref="G18">
    <cfRule type="containsBlanks" dxfId="80" priority="42">
      <formula>LEN(TRIM(G18))=0</formula>
    </cfRule>
    <cfRule type="containsBlanks" dxfId="79" priority="43">
      <formula>LEN(TRIM(G18))=0</formula>
    </cfRule>
  </conditionalFormatting>
  <conditionalFormatting sqref="F33">
    <cfRule type="containsBlanks" dxfId="78" priority="104">
      <formula>LEN(TRIM(F33))=0</formula>
    </cfRule>
  </conditionalFormatting>
  <conditionalFormatting sqref="E41:E42">
    <cfRule type="containsBlanks" dxfId="77" priority="105">
      <formula>LEN(TRIM(E41))=0</formula>
    </cfRule>
  </conditionalFormatting>
  <conditionalFormatting sqref="E18">
    <cfRule type="cellIs" dxfId="76" priority="34" operator="equal">
      <formula>"ไม่ผ่าน"</formula>
    </cfRule>
    <cfRule type="cellIs" dxfId="75" priority="35" operator="equal">
      <formula>"ผ่าน"</formula>
    </cfRule>
  </conditionalFormatting>
  <conditionalFormatting sqref="E18">
    <cfRule type="containsBlanks" dxfId="74" priority="33">
      <formula>LEN(TRIM(E18))=0</formula>
    </cfRule>
  </conditionalFormatting>
  <conditionalFormatting sqref="F35:F37">
    <cfRule type="containsBlanks" dxfId="73" priority="29">
      <formula>LEN(TRIM(F35))=0</formula>
    </cfRule>
  </conditionalFormatting>
  <conditionalFormatting sqref="F23">
    <cfRule type="containsBlanks" dxfId="72" priority="27">
      <formula>LEN(TRIM(F23))=0</formula>
    </cfRule>
  </conditionalFormatting>
  <conditionalFormatting sqref="F24:F25">
    <cfRule type="containsBlanks" dxfId="71" priority="25">
      <formula>LEN(TRIM(F24))=0</formula>
    </cfRule>
  </conditionalFormatting>
  <conditionalFormatting sqref="F27">
    <cfRule type="containsBlanks" dxfId="70" priority="23">
      <formula>LEN(TRIM(F27))=0</formula>
    </cfRule>
  </conditionalFormatting>
  <conditionalFormatting sqref="F41">
    <cfRule type="containsBlanks" dxfId="69" priority="12">
      <formula>LEN(TRIM(F41))=0</formula>
    </cfRule>
    <cfRule type="cellIs" dxfId="68" priority="22" operator="equal">
      <formula>0</formula>
    </cfRule>
  </conditionalFormatting>
  <conditionalFormatting sqref="E38:F38">
    <cfRule type="containsBlanks" dxfId="67" priority="21">
      <formula>LEN(TRIM(E38))=0</formula>
    </cfRule>
  </conditionalFormatting>
  <conditionalFormatting sqref="F40">
    <cfRule type="containsBlanks" dxfId="66" priority="18">
      <formula>LEN(TRIM(F40))=0</formula>
    </cfRule>
  </conditionalFormatting>
  <conditionalFormatting sqref="G41">
    <cfRule type="containsBlanks" dxfId="65" priority="13">
      <formula>LEN(TRIM(G41))=0</formula>
    </cfRule>
  </conditionalFormatting>
  <conditionalFormatting sqref="F18">
    <cfRule type="cellIs" dxfId="64" priority="10" operator="equal">
      <formula>"ไม่ผ่าน"</formula>
    </cfRule>
    <cfRule type="cellIs" dxfId="63" priority="11" operator="equal">
      <formula>"ผ่าน"</formula>
    </cfRule>
  </conditionalFormatting>
  <conditionalFormatting sqref="E23:E25">
    <cfRule type="cellIs" dxfId="62" priority="9" operator="equal">
      <formula>"เลือก"</formula>
    </cfRule>
  </conditionalFormatting>
  <conditionalFormatting sqref="E40 E35:E37 E33 E27">
    <cfRule type="cellIs" dxfId="61" priority="1" operator="equal">
      <formula>"เลือก"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>
    <oddFooter>&amp;L&amp;"Browallia New,ธรรมดา"&amp;12สรุปผลการประเมินหลักสูตร&amp;R&amp;"Browallia New,ธรรมดา"&amp;12หน้าที่ &amp;P/&amp;N</oddFooter>
  </headerFooter>
  <rowBreaks count="1" manualBreakCount="1">
    <brk id="15" max="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6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B6:B15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เลือก" error="เลือก0-5เท่านั้น" promptTitle="เลือก" prompt="คลิกเลือก">
          <x14:formula1>
            <xm:f>info!$G$14:$G$20</xm:f>
          </x14:formula1>
          <xm:sqref>E33 E35:E37 E23:E25 E27 E40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opLeftCell="B1" workbookViewId="0">
      <selection activeCell="J1" sqref="J1"/>
    </sheetView>
  </sheetViews>
  <sheetFormatPr defaultColWidth="9" defaultRowHeight="14.25" x14ac:dyDescent="0.2"/>
  <cols>
    <col min="1" max="1" width="1.125" style="6" customWidth="1"/>
    <col min="2" max="2" width="11.125" style="6" customWidth="1"/>
    <col min="3" max="3" width="12.875" style="6" customWidth="1"/>
    <col min="4" max="4" width="6.75" style="6" customWidth="1"/>
    <col min="5" max="5" width="8.75" style="6" customWidth="1"/>
    <col min="6" max="8" width="9" style="6"/>
    <col min="9" max="9" width="10.125" style="6" customWidth="1"/>
    <col min="10" max="10" width="17.375" style="6" customWidth="1"/>
    <col min="11" max="11" width="33.75" style="6" customWidth="1"/>
    <col min="12" max="16384" width="9" style="6"/>
  </cols>
  <sheetData>
    <row r="1" spans="2:11" s="5" customFormat="1" ht="62.25" customHeight="1" x14ac:dyDescent="0.5">
      <c r="B1" s="405" t="s">
        <v>29</v>
      </c>
      <c r="C1" s="405"/>
      <c r="D1" s="412" t="str">
        <f>IF(INTRO!C3="","",INTRO!C3)</f>
        <v/>
      </c>
      <c r="E1" s="412"/>
      <c r="F1" s="412"/>
      <c r="G1" s="412"/>
      <c r="H1" s="412"/>
      <c r="I1" s="412"/>
      <c r="J1" s="292" t="s">
        <v>283</v>
      </c>
      <c r="K1" s="291" t="str">
        <f>IF(INTRO!C2="","",INTRO!C2)</f>
        <v>เลือกคณะ</v>
      </c>
    </row>
    <row r="2" spans="2:11" s="217" customFormat="1" ht="38.25" customHeight="1" x14ac:dyDescent="0.2">
      <c r="B2" s="212" t="s">
        <v>284</v>
      </c>
      <c r="C2" s="213"/>
      <c r="D2" s="213"/>
      <c r="E2" s="213"/>
      <c r="F2" s="213"/>
      <c r="G2" s="213"/>
      <c r="H2" s="213"/>
      <c r="I2" s="214"/>
      <c r="J2" s="215"/>
      <c r="K2" s="216"/>
    </row>
    <row r="3" spans="2:11" ht="23.25" customHeight="1" x14ac:dyDescent="0.2">
      <c r="B3" s="410" t="s">
        <v>280</v>
      </c>
      <c r="C3" s="410" t="s">
        <v>281</v>
      </c>
      <c r="D3" s="410" t="s">
        <v>273</v>
      </c>
      <c r="E3" s="425" t="s">
        <v>274</v>
      </c>
      <c r="F3" s="426"/>
      <c r="G3" s="426"/>
      <c r="H3" s="426"/>
      <c r="I3" s="427"/>
      <c r="J3" s="410" t="s">
        <v>275</v>
      </c>
      <c r="K3" s="410" t="s">
        <v>185</v>
      </c>
    </row>
    <row r="4" spans="2:11" ht="23.25" customHeight="1" x14ac:dyDescent="0.2">
      <c r="B4" s="411"/>
      <c r="C4" s="411"/>
      <c r="D4" s="411"/>
      <c r="E4" s="201" t="s">
        <v>276</v>
      </c>
      <c r="F4" s="201" t="s">
        <v>277</v>
      </c>
      <c r="G4" s="201" t="s">
        <v>278</v>
      </c>
      <c r="H4" s="425" t="s">
        <v>279</v>
      </c>
      <c r="I4" s="427"/>
      <c r="J4" s="411"/>
      <c r="K4" s="411"/>
    </row>
    <row r="5" spans="2:11" ht="27" customHeight="1" x14ac:dyDescent="0.2">
      <c r="B5" s="205">
        <v>1</v>
      </c>
      <c r="C5" s="430" t="str">
        <f>IF(Result!E18="","",IF(Result!E18="ไม่ผ่าน","ไม่ผ่านการประเมิน","ผ่านการประเมิน"))</f>
        <v>ไม่ผ่านการประเมิน</v>
      </c>
      <c r="D5" s="431"/>
      <c r="E5" s="431"/>
      <c r="F5" s="431"/>
      <c r="G5" s="431"/>
      <c r="H5" s="431"/>
      <c r="I5" s="431"/>
      <c r="J5" s="432"/>
      <c r="K5" s="218"/>
    </row>
    <row r="6" spans="2:11" ht="27" customHeight="1" x14ac:dyDescent="0.2">
      <c r="B6" s="205">
        <v>2</v>
      </c>
      <c r="C6" s="413" t="s">
        <v>282</v>
      </c>
      <c r="D6" s="208">
        <v>2</v>
      </c>
      <c r="E6" s="203" t="s">
        <v>30</v>
      </c>
      <c r="F6" s="203" t="s">
        <v>30</v>
      </c>
      <c r="G6" s="202">
        <f>IF(COUNTBLANK(Result!F20:F21)=2,"",IF(ISERROR(SUM(Result!F20:F21)/COUNT(Result!F20:F21)),,AVERAGE(Result!F20:F21)))</f>
        <v>0</v>
      </c>
      <c r="H6" s="408">
        <f>IF(COUNTBLANK(Result!F20:F21)=2,"",IF(ISERROR(SUM(Result!F20:F21)/COUNT(Result!F20:F21)),,AVERAGE(Result!F20:F21)))</f>
        <v>0</v>
      </c>
      <c r="I6" s="409"/>
      <c r="J6" s="206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>ไม่ได้มาตรฐาน</v>
      </c>
      <c r="K6" s="219"/>
    </row>
    <row r="7" spans="2:11" ht="27" customHeight="1" x14ac:dyDescent="0.2">
      <c r="B7" s="205">
        <v>3</v>
      </c>
      <c r="C7" s="414"/>
      <c r="D7" s="208">
        <v>3</v>
      </c>
      <c r="E7" s="209" t="str">
        <f>IF(COUNTBLANK(Result!F23:F25)=3,"",AVERAGE(Result!F23:F25))</f>
        <v/>
      </c>
      <c r="F7" s="203" t="s">
        <v>30</v>
      </c>
      <c r="G7" s="203" t="s">
        <v>30</v>
      </c>
      <c r="H7" s="408" t="str">
        <f>IF(COUNTBLANK(Result!F23:F25)=3,"",AVERAGE(Result!F23:F25))</f>
        <v/>
      </c>
      <c r="I7" s="409"/>
      <c r="J7" s="206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19"/>
    </row>
    <row r="8" spans="2:11" ht="27" customHeight="1" x14ac:dyDescent="0.2">
      <c r="B8" s="205">
        <v>4</v>
      </c>
      <c r="C8" s="414"/>
      <c r="D8" s="208">
        <v>3</v>
      </c>
      <c r="E8" s="209" t="str">
        <f>IF(COUNTBLANK(Result!F27:F28)+COUNTBLANK(Result!F33)=3,"",AVERAGE(Result!F27:F28,Result!F33))</f>
        <v/>
      </c>
      <c r="F8" s="203" t="s">
        <v>30</v>
      </c>
      <c r="G8" s="203" t="s">
        <v>30</v>
      </c>
      <c r="H8" s="408" t="str">
        <f>IF(COUNTBLANK(Result!F27:F28)+COUNTBLANK(Result!F33)=3,"",AVERAGE(Result!F27:F28,Result!F33))</f>
        <v/>
      </c>
      <c r="I8" s="409"/>
      <c r="J8" s="206" t="str">
        <f t="shared" si="0"/>
        <v xml:space="preserve"> </v>
      </c>
      <c r="K8" s="219"/>
    </row>
    <row r="9" spans="2:11" ht="27" customHeight="1" x14ac:dyDescent="0.2">
      <c r="B9" s="205">
        <v>5</v>
      </c>
      <c r="C9" s="414"/>
      <c r="D9" s="208">
        <v>4</v>
      </c>
      <c r="E9" s="209" t="str">
        <f>IF(Result!F35="","",Result!F35)</f>
        <v/>
      </c>
      <c r="F9" s="202" t="str">
        <f>IF(COUNTBLANK(Result!F36:F38)=3,"",AVERAGE(Result!F36:F38))</f>
        <v/>
      </c>
      <c r="G9" s="203" t="s">
        <v>30</v>
      </c>
      <c r="H9" s="408" t="str">
        <f>IF(COUNTBLANK(Result!F35:F38)=4,"",AVERAGE(Result!F35:F38))</f>
        <v/>
      </c>
      <c r="I9" s="409"/>
      <c r="J9" s="206" t="str">
        <f t="shared" si="0"/>
        <v xml:space="preserve"> </v>
      </c>
      <c r="K9" s="220"/>
    </row>
    <row r="10" spans="2:11" ht="27" customHeight="1" x14ac:dyDescent="0.2">
      <c r="B10" s="205">
        <v>6</v>
      </c>
      <c r="C10" s="415"/>
      <c r="D10" s="208">
        <v>1</v>
      </c>
      <c r="E10" s="203" t="s">
        <v>30</v>
      </c>
      <c r="F10" s="202" t="str">
        <f>IF(Result!F40="","",Result!F40)</f>
        <v/>
      </c>
      <c r="G10" s="203" t="s">
        <v>30</v>
      </c>
      <c r="H10" s="416" t="str">
        <f>IF(Result!F40="","",Result!F40)</f>
        <v/>
      </c>
      <c r="I10" s="417"/>
      <c r="J10" s="206" t="str">
        <f t="shared" si="0"/>
        <v xml:space="preserve"> </v>
      </c>
      <c r="K10" s="222"/>
    </row>
    <row r="11" spans="2:11" ht="27" customHeight="1" x14ac:dyDescent="0.2">
      <c r="B11" s="418" t="s">
        <v>273</v>
      </c>
      <c r="C11" s="419"/>
      <c r="D11" s="210">
        <f>SUM(D6:D10)</f>
        <v>13</v>
      </c>
      <c r="E11" s="210">
        <v>7</v>
      </c>
      <c r="F11" s="210">
        <v>4</v>
      </c>
      <c r="G11" s="211">
        <v>2</v>
      </c>
      <c r="H11" s="420"/>
      <c r="I11" s="421"/>
      <c r="J11" s="422"/>
      <c r="K11" s="222"/>
    </row>
    <row r="12" spans="2:11" ht="27" customHeight="1" x14ac:dyDescent="0.2">
      <c r="B12" s="425" t="s">
        <v>274</v>
      </c>
      <c r="C12" s="426"/>
      <c r="D12" s="207" t="s">
        <v>30</v>
      </c>
      <c r="E12" s="202" t="str">
        <f>IF(COUNTBLANK(Result!F23:F25)+COUNTBLANK(Result!F27:F28)+COUNTBLANK(Result!F33)+COUNTBLANK(Result!F35)=7,"",AVERAGE(Result!F23:F25,Result!F27:F28,Result!F33,Result!F35))</f>
        <v/>
      </c>
      <c r="F12" s="202" t="str">
        <f>IF(COUNTBLANK(Result!F36:F38)+COUNTBLANK(Result!F40)=4,"",AVERAGE(Result!F36:F38,Result!F40))</f>
        <v/>
      </c>
      <c r="G12" s="202">
        <f>IF(COUNTBLANK(Result!F20:F21)=2,"",AVERAGE(Result!F20:F21))</f>
        <v>0</v>
      </c>
      <c r="H12" s="433">
        <f>IF(COUNTBLANK(Result!F20:F21)+COUNTBLANK(Result!F23:F25)+COUNTBLANK(Result!F27:F28)
+COUNTBLANK(Result!F33)+COUNTBLANK(Result!F35:F38)+COUNTBLANK(Result!F40)=13,"",AVERAGE(Result!F20:F21,Result!F23:F25,Result!F27:F28,Result!F33,Result!F35:F38,Result!F40))</f>
        <v>0</v>
      </c>
      <c r="I12" s="434"/>
      <c r="J12" s="225" t="str">
        <f t="shared" si="0"/>
        <v>ไม่ได้มาตรฐาน</v>
      </c>
      <c r="K12" s="221"/>
    </row>
    <row r="13" spans="2:11" ht="90.75" customHeight="1" x14ac:dyDescent="0.2">
      <c r="B13" s="423" t="s">
        <v>275</v>
      </c>
      <c r="C13" s="424"/>
      <c r="D13" s="204"/>
      <c r="E13" s="206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 xml:space="preserve"> </v>
      </c>
      <c r="F13" s="206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06" t="str">
        <f t="shared" si="1"/>
        <v>ไม่ได้มาตรฐาน</v>
      </c>
      <c r="H13" s="406"/>
      <c r="I13" s="407"/>
      <c r="J13" s="428" t="s">
        <v>290</v>
      </c>
      <c r="K13" s="429"/>
    </row>
  </sheetData>
  <sheetProtection algorithmName="SHA-512" hashValue="/IrlOpLRVeNjJrY0EEpp48WduGCT+DTztaN6QAgnt9M015plYFonbi4w6yOzlT0wfAH56lsch3h5P3vsYP88kg==" saltValue="OHJL+xy+GGNFKnSXO9jyXQ==" spinCount="100000" sheet="1" objects="1" scenarios="1"/>
  <mergeCells count="23">
    <mergeCell ref="C5:J5"/>
    <mergeCell ref="K3:K4"/>
    <mergeCell ref="H4:I4"/>
    <mergeCell ref="H6:I6"/>
    <mergeCell ref="B12:C12"/>
    <mergeCell ref="H12:I12"/>
    <mergeCell ref="J3:J4"/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</mergeCells>
  <conditionalFormatting sqref="D6:D10">
    <cfRule type="containsBlanks" dxfId="59" priority="28">
      <formula>LEN(TRIM(D6))=0</formula>
    </cfRule>
  </conditionalFormatting>
  <conditionalFormatting sqref="D12">
    <cfRule type="containsBlanks" dxfId="58" priority="3">
      <formula>LEN(TRIM(D12))=0</formula>
    </cfRule>
  </conditionalFormatting>
  <conditionalFormatting sqref="E6:I10 E12:I12">
    <cfRule type="containsBlanks" dxfId="57" priority="43">
      <formula>LEN(TRIM(E6))=0</formula>
    </cfRule>
  </conditionalFormatting>
  <conditionalFormatting sqref="E10">
    <cfRule type="containsBlanks" dxfId="56" priority="16">
      <formula>LEN(TRIM(E10))=0</formula>
    </cfRule>
  </conditionalFormatting>
  <conditionalFormatting sqref="E6:G6">
    <cfRule type="containsBlanks" dxfId="55" priority="41">
      <formula>LEN(TRIM(E6))=0</formula>
    </cfRule>
  </conditionalFormatting>
  <conditionalFormatting sqref="F6:I6 H7:I8">
    <cfRule type="containsBlanks" dxfId="54" priority="40">
      <formula>LEN(TRIM(F6))=0</formula>
    </cfRule>
  </conditionalFormatting>
  <conditionalFormatting sqref="F7:F8 H7:I8">
    <cfRule type="containsBlanks" dxfId="53" priority="39">
      <formula>LEN(TRIM(F7))=0</formula>
    </cfRule>
  </conditionalFormatting>
  <conditionalFormatting sqref="E8:I8 E9:E10 G9:G10">
    <cfRule type="containsBlanks" dxfId="52" priority="38">
      <formula>LEN(TRIM(E8))=0</formula>
    </cfRule>
  </conditionalFormatting>
  <conditionalFormatting sqref="F9:I10">
    <cfRule type="containsBlanks" dxfId="51" priority="37">
      <formula>LEN(TRIM(F9))=0</formula>
    </cfRule>
  </conditionalFormatting>
  <conditionalFormatting sqref="E12:I12">
    <cfRule type="containsBlanks" dxfId="50" priority="36">
      <formula>LEN(TRIM(E12))=0</formula>
    </cfRule>
  </conditionalFormatting>
  <conditionalFormatting sqref="K5:K12">
    <cfRule type="containsBlanks" dxfId="49" priority="35">
      <formula>LEN(TRIM(K5))=0</formula>
    </cfRule>
  </conditionalFormatting>
  <conditionalFormatting sqref="D11 C5:C6">
    <cfRule type="containsBlanks" dxfId="48" priority="34">
      <formula>LEN(TRIM(C5))=0</formula>
    </cfRule>
  </conditionalFormatting>
  <conditionalFormatting sqref="J6:J10 J12">
    <cfRule type="containsBlanks" dxfId="47" priority="33" stopIfTrue="1">
      <formula>LEN(TRIM(J6))=0</formula>
    </cfRule>
  </conditionalFormatting>
  <conditionalFormatting sqref="E11:G11">
    <cfRule type="containsBlanks" dxfId="46" priority="32">
      <formula>LEN(TRIM(E11))=0</formula>
    </cfRule>
  </conditionalFormatting>
  <conditionalFormatting sqref="E10">
    <cfRule type="containsBlanks" dxfId="45" priority="17">
      <formula>LEN(TRIM(E10))=0</formula>
    </cfRule>
  </conditionalFormatting>
  <conditionalFormatting sqref="E10">
    <cfRule type="containsBlanks" dxfId="44" priority="15">
      <formula>LEN(TRIM(E10))=0</formula>
    </cfRule>
  </conditionalFormatting>
  <conditionalFormatting sqref="E10">
    <cfRule type="containsBlanks" dxfId="43" priority="14">
      <formula>LEN(TRIM(E10))=0</formula>
    </cfRule>
  </conditionalFormatting>
  <conditionalFormatting sqref="G10">
    <cfRule type="containsBlanks" dxfId="42" priority="13">
      <formula>LEN(TRIM(G10))=0</formula>
    </cfRule>
  </conditionalFormatting>
  <conditionalFormatting sqref="G10">
    <cfRule type="containsBlanks" dxfId="41" priority="12">
      <formula>LEN(TRIM(G10))=0</formula>
    </cfRule>
  </conditionalFormatting>
  <conditionalFormatting sqref="G10">
    <cfRule type="containsBlanks" dxfId="40" priority="11">
      <formula>LEN(TRIM(G10))=0</formula>
    </cfRule>
  </conditionalFormatting>
  <conditionalFormatting sqref="G10">
    <cfRule type="containsBlanks" dxfId="39" priority="10">
      <formula>LEN(TRIM(G10))=0</formula>
    </cfRule>
  </conditionalFormatting>
  <conditionalFormatting sqref="D12">
    <cfRule type="containsBlanks" dxfId="38" priority="8">
      <formula>LEN(TRIM(D12))=0</formula>
    </cfRule>
  </conditionalFormatting>
  <conditionalFormatting sqref="D12">
    <cfRule type="containsBlanks" dxfId="37" priority="6">
      <formula>LEN(TRIM(D12))=0</formula>
    </cfRule>
  </conditionalFormatting>
  <conditionalFormatting sqref="D12">
    <cfRule type="containsBlanks" dxfId="36" priority="5">
      <formula>LEN(TRIM(D12))=0</formula>
    </cfRule>
  </conditionalFormatting>
  <conditionalFormatting sqref="D12">
    <cfRule type="containsBlanks" dxfId="35" priority="4">
      <formula>LEN(TRIM(D12))=0</formula>
    </cfRule>
  </conditionalFormatting>
  <conditionalFormatting sqref="D12">
    <cfRule type="containsBlanks" dxfId="34" priority="9">
      <formula>LEN(TRIM(D12))=0</formula>
    </cfRule>
  </conditionalFormatting>
  <conditionalFormatting sqref="D12">
    <cfRule type="containsBlanks" dxfId="33" priority="7">
      <formula>LEN(TRIM(D12))=0</formula>
    </cfRule>
  </conditionalFormatting>
  <conditionalFormatting sqref="D6:D10">
    <cfRule type="containsBlanks" dxfId="32" priority="27">
      <formula>LEN(TRIM(D6))=0</formula>
    </cfRule>
  </conditionalFormatting>
  <conditionalFormatting sqref="E7:E9">
    <cfRule type="containsBlanks" dxfId="31" priority="26">
      <formula>LEN(TRIM(E7))=0</formula>
    </cfRule>
  </conditionalFormatting>
  <conditionalFormatting sqref="E7:E9">
    <cfRule type="containsBlanks" dxfId="30" priority="25">
      <formula>LEN(TRIM(E7))=0</formula>
    </cfRule>
  </conditionalFormatting>
  <conditionalFormatting sqref="F7:G8 G9">
    <cfRule type="containsBlanks" dxfId="29" priority="24">
      <formula>LEN(TRIM(F7))=0</formula>
    </cfRule>
  </conditionalFormatting>
  <conditionalFormatting sqref="F7:G8 G9">
    <cfRule type="containsBlanks" dxfId="28" priority="23">
      <formula>LEN(TRIM(F7))=0</formula>
    </cfRule>
  </conditionalFormatting>
  <conditionalFormatting sqref="F7:G8 G9">
    <cfRule type="containsBlanks" dxfId="27" priority="22">
      <formula>LEN(TRIM(F7))=0</formula>
    </cfRule>
  </conditionalFormatting>
  <conditionalFormatting sqref="G7:G9">
    <cfRule type="containsBlanks" dxfId="26" priority="21">
      <formula>LEN(TRIM(G7))=0</formula>
    </cfRule>
  </conditionalFormatting>
  <conditionalFormatting sqref="H9:I9">
    <cfRule type="containsBlanks" dxfId="25" priority="20">
      <formula>LEN(TRIM(H9))=0</formula>
    </cfRule>
  </conditionalFormatting>
  <conditionalFormatting sqref="H9:I9">
    <cfRule type="containsBlanks" dxfId="24" priority="19">
      <formula>LEN(TRIM(H9))=0</formula>
    </cfRule>
  </conditionalFormatting>
  <conditionalFormatting sqref="E10">
    <cfRule type="containsBlanks" dxfId="23" priority="18">
      <formula>LEN(TRIM(E10))=0</formula>
    </cfRule>
  </conditionalFormatting>
  <conditionalFormatting sqref="E13:G13">
    <cfRule type="containsBlanks" dxfId="22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opLeftCell="A185" zoomScaleNormal="100" workbookViewId="0">
      <selection activeCell="N191" sqref="N191"/>
    </sheetView>
  </sheetViews>
  <sheetFormatPr defaultColWidth="9" defaultRowHeight="14.25" x14ac:dyDescent="0.2"/>
  <cols>
    <col min="1" max="1" width="12.125" style="226" customWidth="1"/>
    <col min="2" max="2" width="10.25" style="226" customWidth="1"/>
    <col min="3" max="3" width="14.25" style="226" customWidth="1"/>
    <col min="4" max="5" width="9" style="226"/>
    <col min="6" max="6" width="20.75" style="226" customWidth="1"/>
    <col min="7" max="12" width="9" style="226"/>
    <col min="13" max="13" width="16.625" style="226" customWidth="1"/>
    <col min="14" max="14" width="28.25" style="226" customWidth="1"/>
    <col min="15" max="15" width="16.625" style="226" customWidth="1"/>
    <col min="16" max="16" width="15.375" style="226" customWidth="1"/>
    <col min="17" max="17" width="15.125" style="226" customWidth="1"/>
    <col min="18" max="18" width="20" style="226" customWidth="1"/>
    <col min="19" max="19" width="15.375" style="226" customWidth="1"/>
    <col min="20" max="20" width="9" style="226"/>
    <col min="21" max="21" width="19.875" style="226" customWidth="1"/>
    <col min="22" max="22" width="15.25" style="226" customWidth="1"/>
    <col min="23" max="16384" width="9" style="226"/>
  </cols>
  <sheetData>
    <row r="1" spans="1:9" x14ac:dyDescent="0.2">
      <c r="H1" s="227" t="str">
        <f>IF(INTRO!$D$1=info!C9,"",IF(INTRO!$D$1=info!C10,"A",IF(INTRO!$D$1=info!C11,"B",IF(INTRO!$D$1=info!C12,"C","D"))))</f>
        <v/>
      </c>
      <c r="I1" s="226">
        <f>IF(COUNTIF(KPI1.1!C8:C17,"เลือก")=11,"",COUNTIFS(KPI1.1!B8:B17,"&lt;&gt;ไม่ประเมินในเกณฑ์นี้",KPI1.1!C8:C17,"ผ่าน"))</f>
        <v>0</v>
      </c>
    </row>
    <row r="2" spans="1:9" x14ac:dyDescent="0.2">
      <c r="A2" s="226" t="s">
        <v>19</v>
      </c>
      <c r="B2" s="226" t="s">
        <v>21</v>
      </c>
      <c r="E2" s="226" t="s">
        <v>19</v>
      </c>
      <c r="F2" s="226" t="s">
        <v>29</v>
      </c>
      <c r="H2" s="226">
        <f>10-COUNTIF(KPI1.1!B8:B17,"ไม่ประเมินในเกณฑ์นี้")</f>
        <v>10</v>
      </c>
    </row>
    <row r="3" spans="1:9" x14ac:dyDescent="0.2">
      <c r="A3" s="228">
        <v>1</v>
      </c>
      <c r="B3" s="228" t="s">
        <v>23</v>
      </c>
      <c r="C3" s="228" t="s">
        <v>24</v>
      </c>
      <c r="E3" s="228">
        <v>1</v>
      </c>
      <c r="F3" s="228" t="s">
        <v>18</v>
      </c>
    </row>
    <row r="4" spans="1:9" x14ac:dyDescent="0.2">
      <c r="A4" s="228">
        <v>2</v>
      </c>
      <c r="B4" s="228" t="s">
        <v>154</v>
      </c>
      <c r="C4" s="228" t="s">
        <v>22</v>
      </c>
      <c r="E4" s="228">
        <v>2</v>
      </c>
      <c r="F4" s="228"/>
    </row>
    <row r="5" spans="1:9" x14ac:dyDescent="0.2">
      <c r="A5" s="228">
        <v>3</v>
      </c>
      <c r="B5" s="228" t="s">
        <v>155</v>
      </c>
      <c r="C5" s="228" t="s">
        <v>25</v>
      </c>
      <c r="E5" s="228"/>
      <c r="F5" s="228" t="s">
        <v>43</v>
      </c>
    </row>
    <row r="6" spans="1:9" x14ac:dyDescent="0.2">
      <c r="A6" s="228">
        <v>4</v>
      </c>
      <c r="B6" s="228" t="s">
        <v>26</v>
      </c>
      <c r="C6" s="228" t="s">
        <v>27</v>
      </c>
      <c r="E6" s="228"/>
      <c r="F6" s="228" t="s">
        <v>40</v>
      </c>
    </row>
    <row r="7" spans="1:9" x14ac:dyDescent="0.2">
      <c r="A7" s="228">
        <v>5</v>
      </c>
      <c r="B7" s="228" t="s">
        <v>43</v>
      </c>
      <c r="C7" s="228" t="s">
        <v>43</v>
      </c>
      <c r="E7" s="228"/>
      <c r="F7" s="228" t="s">
        <v>41</v>
      </c>
    </row>
    <row r="8" spans="1:9" x14ac:dyDescent="0.2">
      <c r="F8" s="228" t="s">
        <v>175</v>
      </c>
    </row>
    <row r="9" spans="1:9" x14ac:dyDescent="0.2">
      <c r="A9" s="226" t="s">
        <v>31</v>
      </c>
      <c r="C9" s="228" t="s">
        <v>68</v>
      </c>
      <c r="E9" s="226" t="s">
        <v>43</v>
      </c>
      <c r="F9" s="231" t="s">
        <v>295</v>
      </c>
    </row>
    <row r="10" spans="1:9" x14ac:dyDescent="0.2">
      <c r="C10" s="228" t="s">
        <v>34</v>
      </c>
      <c r="E10" s="226" t="s">
        <v>94</v>
      </c>
      <c r="F10" s="231" t="s">
        <v>116</v>
      </c>
    </row>
    <row r="11" spans="1:9" x14ac:dyDescent="0.2">
      <c r="C11" s="228" t="s">
        <v>35</v>
      </c>
      <c r="E11" s="226" t="s">
        <v>30</v>
      </c>
      <c r="F11" s="231" t="s">
        <v>36</v>
      </c>
    </row>
    <row r="12" spans="1:9" x14ac:dyDescent="0.2">
      <c r="C12" s="228" t="s">
        <v>33</v>
      </c>
      <c r="F12" s="231" t="s">
        <v>296</v>
      </c>
    </row>
    <row r="13" spans="1:9" x14ac:dyDescent="0.2">
      <c r="C13" s="228" t="s">
        <v>43</v>
      </c>
      <c r="F13" s="232" t="s">
        <v>43</v>
      </c>
    </row>
    <row r="14" spans="1:9" x14ac:dyDescent="0.2">
      <c r="F14" s="226" t="s">
        <v>43</v>
      </c>
      <c r="G14" s="226" t="s">
        <v>43</v>
      </c>
    </row>
    <row r="15" spans="1:9" x14ac:dyDescent="0.2">
      <c r="C15" s="229" t="s">
        <v>64</v>
      </c>
      <c r="F15" s="226" t="s">
        <v>110</v>
      </c>
      <c r="G15" s="226">
        <v>0</v>
      </c>
    </row>
    <row r="16" spans="1:9" x14ac:dyDescent="0.2">
      <c r="C16" s="229" t="s">
        <v>65</v>
      </c>
      <c r="F16" s="226" t="s">
        <v>111</v>
      </c>
      <c r="G16" s="226">
        <v>1</v>
      </c>
    </row>
    <row r="17" spans="1:7" x14ac:dyDescent="0.2">
      <c r="C17" s="229" t="s">
        <v>66</v>
      </c>
      <c r="F17" s="226" t="s">
        <v>112</v>
      </c>
      <c r="G17" s="226">
        <v>2</v>
      </c>
    </row>
    <row r="18" spans="1:7" x14ac:dyDescent="0.2">
      <c r="C18" s="229" t="s">
        <v>67</v>
      </c>
      <c r="F18" s="226" t="s">
        <v>113</v>
      </c>
      <c r="G18" s="226">
        <v>3</v>
      </c>
    </row>
    <row r="19" spans="1:7" x14ac:dyDescent="0.2">
      <c r="F19" s="226" t="s">
        <v>114</v>
      </c>
      <c r="G19" s="226">
        <v>4</v>
      </c>
    </row>
    <row r="20" spans="1:7" x14ac:dyDescent="0.2">
      <c r="F20" s="226" t="s">
        <v>115</v>
      </c>
      <c r="G20" s="226">
        <v>5</v>
      </c>
    </row>
    <row r="21" spans="1:7" x14ac:dyDescent="0.2">
      <c r="G21" s="226" t="s">
        <v>175</v>
      </c>
    </row>
    <row r="22" spans="1:7" x14ac:dyDescent="0.2">
      <c r="C22" s="226" t="s">
        <v>161</v>
      </c>
    </row>
    <row r="23" spans="1:7" x14ac:dyDescent="0.2">
      <c r="C23" s="226" t="s">
        <v>162</v>
      </c>
    </row>
    <row r="24" spans="1:7" x14ac:dyDescent="0.2">
      <c r="C24" s="226" t="s">
        <v>43</v>
      </c>
    </row>
    <row r="28" spans="1:7" x14ac:dyDescent="0.2">
      <c r="C28" s="226" t="s">
        <v>167</v>
      </c>
    </row>
    <row r="29" spans="1:7" x14ac:dyDescent="0.2">
      <c r="C29" s="226" t="s">
        <v>75</v>
      </c>
    </row>
    <row r="30" spans="1:7" x14ac:dyDescent="0.2">
      <c r="A30" s="226">
        <v>1.1000000000000001</v>
      </c>
      <c r="B30" s="274" t="s">
        <v>34</v>
      </c>
      <c r="C30" s="271" t="s">
        <v>348</v>
      </c>
    </row>
    <row r="31" spans="1:7" x14ac:dyDescent="0.2">
      <c r="B31" s="276" t="s">
        <v>35</v>
      </c>
      <c r="C31" s="271" t="s">
        <v>348</v>
      </c>
    </row>
    <row r="32" spans="1:7" x14ac:dyDescent="0.2">
      <c r="B32" s="228" t="s">
        <v>33</v>
      </c>
      <c r="C32" s="226" t="s">
        <v>70</v>
      </c>
    </row>
    <row r="33" spans="1:3" x14ac:dyDescent="0.2">
      <c r="A33" s="226">
        <v>1.2</v>
      </c>
      <c r="B33" s="275" t="s">
        <v>34</v>
      </c>
      <c r="C33" s="226" t="s">
        <v>360</v>
      </c>
    </row>
    <row r="34" spans="1:3" x14ac:dyDescent="0.2">
      <c r="B34" s="276" t="s">
        <v>35</v>
      </c>
      <c r="C34" s="226" t="s">
        <v>349</v>
      </c>
    </row>
    <row r="35" spans="1:3" ht="21" x14ac:dyDescent="0.2">
      <c r="B35" s="228" t="s">
        <v>33</v>
      </c>
      <c r="C35" s="261" t="s">
        <v>336</v>
      </c>
    </row>
    <row r="36" spans="1:3" x14ac:dyDescent="0.2">
      <c r="A36" s="226">
        <v>1.3</v>
      </c>
      <c r="B36" s="275" t="s">
        <v>34</v>
      </c>
      <c r="C36" s="226" t="s">
        <v>350</v>
      </c>
    </row>
    <row r="37" spans="1:3" x14ac:dyDescent="0.2">
      <c r="B37" s="276" t="s">
        <v>35</v>
      </c>
      <c r="C37" s="226" t="s">
        <v>361</v>
      </c>
    </row>
    <row r="38" spans="1:3" ht="21" x14ac:dyDescent="0.35">
      <c r="B38" s="228" t="s">
        <v>33</v>
      </c>
      <c r="C38" s="268" t="s">
        <v>347</v>
      </c>
    </row>
    <row r="39" spans="1:3" x14ac:dyDescent="0.2">
      <c r="A39" s="226">
        <v>1.4</v>
      </c>
      <c r="B39" s="275" t="s">
        <v>34</v>
      </c>
      <c r="C39" s="271" t="s">
        <v>363</v>
      </c>
    </row>
    <row r="40" spans="1:3" x14ac:dyDescent="0.2">
      <c r="B40" s="276" t="s">
        <v>35</v>
      </c>
      <c r="C40" s="277" t="s">
        <v>362</v>
      </c>
    </row>
    <row r="41" spans="1:3" x14ac:dyDescent="0.2">
      <c r="B41" s="228" t="s">
        <v>33</v>
      </c>
      <c r="C41" s="262" t="s">
        <v>351</v>
      </c>
    </row>
    <row r="42" spans="1:3" x14ac:dyDescent="0.2">
      <c r="A42" s="226">
        <v>1.5</v>
      </c>
      <c r="B42" s="275" t="s">
        <v>34</v>
      </c>
      <c r="C42" s="226" t="s">
        <v>352</v>
      </c>
    </row>
    <row r="43" spans="1:3" x14ac:dyDescent="0.2">
      <c r="B43" s="276" t="s">
        <v>35</v>
      </c>
      <c r="C43" s="226" t="s">
        <v>352</v>
      </c>
    </row>
    <row r="44" spans="1:3" x14ac:dyDescent="0.2">
      <c r="B44" s="228" t="s">
        <v>33</v>
      </c>
      <c r="C44" s="226" t="str">
        <f>C29</f>
        <v>ไม่ประเมินในเกณฑ์นี้</v>
      </c>
    </row>
    <row r="45" spans="1:3" x14ac:dyDescent="0.2">
      <c r="A45" s="226">
        <v>1.6</v>
      </c>
      <c r="B45" s="275" t="s">
        <v>34</v>
      </c>
      <c r="C45" s="271" t="s">
        <v>354</v>
      </c>
    </row>
    <row r="46" spans="1:3" ht="21" x14ac:dyDescent="0.2">
      <c r="B46" s="276" t="s">
        <v>35</v>
      </c>
      <c r="C46" s="272" t="s">
        <v>353</v>
      </c>
    </row>
    <row r="47" spans="1:3" x14ac:dyDescent="0.2">
      <c r="B47" s="228" t="s">
        <v>33</v>
      </c>
      <c r="C47" s="226" t="str">
        <f>C29</f>
        <v>ไม่ประเมินในเกณฑ์นี้</v>
      </c>
    </row>
    <row r="48" spans="1:3" x14ac:dyDescent="0.2">
      <c r="A48" s="226">
        <v>1.7</v>
      </c>
      <c r="B48" s="275" t="s">
        <v>34</v>
      </c>
      <c r="C48" s="271" t="s">
        <v>356</v>
      </c>
    </row>
    <row r="49" spans="1:4" x14ac:dyDescent="0.2">
      <c r="B49" s="276" t="s">
        <v>35</v>
      </c>
      <c r="C49" s="271" t="s">
        <v>355</v>
      </c>
    </row>
    <row r="50" spans="1:4" x14ac:dyDescent="0.2">
      <c r="B50" s="228" t="s">
        <v>33</v>
      </c>
      <c r="C50" s="226" t="str">
        <f>C29</f>
        <v>ไม่ประเมินในเกณฑ์นี้</v>
      </c>
    </row>
    <row r="51" spans="1:4" x14ac:dyDescent="0.2">
      <c r="A51" s="226">
        <v>1.8</v>
      </c>
      <c r="B51" s="275" t="s">
        <v>34</v>
      </c>
      <c r="C51" s="271" t="s">
        <v>357</v>
      </c>
    </row>
    <row r="52" spans="1:4" x14ac:dyDescent="0.2">
      <c r="A52" s="226" t="s">
        <v>171</v>
      </c>
      <c r="B52" s="276" t="s">
        <v>35</v>
      </c>
      <c r="C52" s="271" t="s">
        <v>358</v>
      </c>
    </row>
    <row r="53" spans="1:4" x14ac:dyDescent="0.2">
      <c r="B53" s="228" t="s">
        <v>33</v>
      </c>
      <c r="C53" s="271" t="str">
        <f>C29</f>
        <v>ไม่ประเมินในเกณฑ์นี้</v>
      </c>
    </row>
    <row r="54" spans="1:4" x14ac:dyDescent="0.2">
      <c r="A54" s="226">
        <v>1.9</v>
      </c>
      <c r="B54" s="275" t="s">
        <v>34</v>
      </c>
      <c r="C54" s="271" t="s">
        <v>359</v>
      </c>
    </row>
    <row r="55" spans="1:4" x14ac:dyDescent="0.2">
      <c r="B55" s="276" t="s">
        <v>35</v>
      </c>
      <c r="C55" s="271" t="s">
        <v>359</v>
      </c>
    </row>
    <row r="56" spans="1:4" x14ac:dyDescent="0.2">
      <c r="B56" s="228" t="s">
        <v>33</v>
      </c>
      <c r="C56" s="271" t="str">
        <f>C29</f>
        <v>ไม่ประเมินในเกณฑ์นี้</v>
      </c>
    </row>
    <row r="57" spans="1:4" x14ac:dyDescent="0.2">
      <c r="A57" s="226" t="s">
        <v>71</v>
      </c>
      <c r="B57" s="269" t="s">
        <v>34</v>
      </c>
      <c r="C57" s="273" t="s">
        <v>16</v>
      </c>
      <c r="D57" s="270"/>
    </row>
    <row r="58" spans="1:4" x14ac:dyDescent="0.2">
      <c r="B58" s="269" t="s">
        <v>35</v>
      </c>
      <c r="C58" s="273" t="s">
        <v>16</v>
      </c>
      <c r="D58" s="270"/>
    </row>
    <row r="59" spans="1:4" x14ac:dyDescent="0.2">
      <c r="B59" s="269" t="s">
        <v>33</v>
      </c>
      <c r="C59" s="273" t="str">
        <f>C29</f>
        <v>ไม่ประเมินในเกณฑ์นี้</v>
      </c>
      <c r="D59" s="270"/>
    </row>
    <row r="60" spans="1:4" x14ac:dyDescent="0.2">
      <c r="A60" s="226" t="s">
        <v>73</v>
      </c>
      <c r="B60" s="275" t="s">
        <v>34</v>
      </c>
      <c r="C60" s="271" t="s">
        <v>74</v>
      </c>
    </row>
    <row r="61" spans="1:4" x14ac:dyDescent="0.2">
      <c r="B61" s="276" t="s">
        <v>35</v>
      </c>
      <c r="C61" s="271" t="s">
        <v>72</v>
      </c>
    </row>
    <row r="62" spans="1:4" x14ac:dyDescent="0.2">
      <c r="B62" s="228" t="s">
        <v>33</v>
      </c>
      <c r="C62" s="271" t="s">
        <v>72</v>
      </c>
    </row>
    <row r="63" spans="1:4" x14ac:dyDescent="0.2">
      <c r="A63" s="226" t="s">
        <v>83</v>
      </c>
      <c r="B63" s="275" t="s">
        <v>34</v>
      </c>
      <c r="C63" s="226" t="s">
        <v>6</v>
      </c>
    </row>
    <row r="64" spans="1:4" x14ac:dyDescent="0.2">
      <c r="B64" s="228" t="s">
        <v>35</v>
      </c>
      <c r="C64" s="226" t="s">
        <v>6</v>
      </c>
    </row>
    <row r="65" spans="1:6" x14ac:dyDescent="0.2">
      <c r="B65" s="228" t="s">
        <v>33</v>
      </c>
      <c r="C65" s="226" t="s">
        <v>6</v>
      </c>
    </row>
    <row r="66" spans="1:6" x14ac:dyDescent="0.2">
      <c r="A66" s="226">
        <v>2.2000000000000002</v>
      </c>
      <c r="B66" s="228" t="s">
        <v>34</v>
      </c>
      <c r="C66" s="226" t="s">
        <v>84</v>
      </c>
    </row>
    <row r="67" spans="1:6" x14ac:dyDescent="0.2">
      <c r="B67" s="228" t="s">
        <v>35</v>
      </c>
      <c r="C67" s="226" t="s">
        <v>85</v>
      </c>
    </row>
    <row r="68" spans="1:6" x14ac:dyDescent="0.2">
      <c r="B68" s="228" t="s">
        <v>33</v>
      </c>
      <c r="C68" s="226" t="s">
        <v>86</v>
      </c>
    </row>
    <row r="69" spans="1:6" x14ac:dyDescent="0.2">
      <c r="B69" s="228"/>
    </row>
    <row r="70" spans="1:6" x14ac:dyDescent="0.2">
      <c r="B70" s="228"/>
    </row>
    <row r="71" spans="1:6" x14ac:dyDescent="0.2">
      <c r="B71" s="228"/>
    </row>
    <row r="77" spans="1:6" x14ac:dyDescent="0.2">
      <c r="B77" s="226" t="s">
        <v>198</v>
      </c>
      <c r="C77" s="226" t="s">
        <v>298</v>
      </c>
    </row>
    <row r="78" spans="1:6" x14ac:dyDescent="0.2">
      <c r="B78" s="226" t="s">
        <v>199</v>
      </c>
      <c r="C78" s="226" t="s">
        <v>297</v>
      </c>
    </row>
    <row r="79" spans="1:6" x14ac:dyDescent="0.2">
      <c r="A79" s="226" t="s">
        <v>200</v>
      </c>
      <c r="B79" s="226" t="s">
        <v>202</v>
      </c>
      <c r="C79" s="226" t="s">
        <v>201</v>
      </c>
      <c r="D79" s="226" t="s">
        <v>197</v>
      </c>
      <c r="F79" s="226" t="s">
        <v>63</v>
      </c>
    </row>
    <row r="80" spans="1:6" x14ac:dyDescent="0.2">
      <c r="A80" s="226">
        <v>100</v>
      </c>
      <c r="B80" s="226">
        <v>100</v>
      </c>
      <c r="C80" s="226">
        <f>100-A80</f>
        <v>0</v>
      </c>
      <c r="E80" s="226">
        <v>4</v>
      </c>
      <c r="F80" s="226">
        <v>5</v>
      </c>
    </row>
    <row r="81" spans="1:6" x14ac:dyDescent="0.2">
      <c r="A81" s="226">
        <v>99</v>
      </c>
      <c r="B81" s="226" t="s">
        <v>203</v>
      </c>
      <c r="C81" s="226">
        <f t="shared" ref="C81:C93" si="0">100-A81</f>
        <v>1</v>
      </c>
      <c r="E81" s="226">
        <f>C81*4/20</f>
        <v>0.2</v>
      </c>
      <c r="F81" s="226">
        <f>5-E81</f>
        <v>4.8</v>
      </c>
    </row>
    <row r="82" spans="1:6" x14ac:dyDescent="0.2">
      <c r="A82" s="226">
        <v>98</v>
      </c>
      <c r="B82" s="226" t="s">
        <v>204</v>
      </c>
      <c r="C82" s="226">
        <f>100-A82</f>
        <v>2</v>
      </c>
      <c r="E82" s="226">
        <f>C82*4/20</f>
        <v>0.4</v>
      </c>
      <c r="F82" s="226">
        <f>5-E82</f>
        <v>4.5999999999999996</v>
      </c>
    </row>
    <row r="83" spans="1:6" x14ac:dyDescent="0.2">
      <c r="A83" s="226">
        <v>97</v>
      </c>
      <c r="B83" s="226" t="s">
        <v>205</v>
      </c>
      <c r="C83" s="226">
        <f t="shared" si="0"/>
        <v>3</v>
      </c>
      <c r="E83" s="226">
        <f t="shared" ref="E83:E100" si="1">C83*4/20</f>
        <v>0.6</v>
      </c>
      <c r="F83" s="226">
        <f t="shared" ref="F83:F100" si="2">5-E83</f>
        <v>4.4000000000000004</v>
      </c>
    </row>
    <row r="84" spans="1:6" x14ac:dyDescent="0.2">
      <c r="A84" s="226">
        <v>96</v>
      </c>
      <c r="B84" s="226" t="s">
        <v>206</v>
      </c>
      <c r="C84" s="226">
        <f t="shared" si="0"/>
        <v>4</v>
      </c>
      <c r="E84" s="226">
        <f t="shared" si="1"/>
        <v>0.8</v>
      </c>
      <c r="F84" s="226">
        <f t="shared" si="2"/>
        <v>4.2</v>
      </c>
    </row>
    <row r="85" spans="1:6" x14ac:dyDescent="0.2">
      <c r="A85" s="226">
        <v>95</v>
      </c>
      <c r="B85" s="226" t="s">
        <v>207</v>
      </c>
      <c r="C85" s="226">
        <f t="shared" si="0"/>
        <v>5</v>
      </c>
      <c r="E85" s="226">
        <f t="shared" si="1"/>
        <v>1</v>
      </c>
      <c r="F85" s="226">
        <f t="shared" si="2"/>
        <v>4</v>
      </c>
    </row>
    <row r="86" spans="1:6" x14ac:dyDescent="0.2">
      <c r="A86" s="226">
        <v>94</v>
      </c>
      <c r="B86" s="226" t="s">
        <v>208</v>
      </c>
      <c r="C86" s="226">
        <f t="shared" si="0"/>
        <v>6</v>
      </c>
      <c r="E86" s="226">
        <f t="shared" si="1"/>
        <v>1.2</v>
      </c>
      <c r="F86" s="226">
        <f t="shared" si="2"/>
        <v>3.8</v>
      </c>
    </row>
    <row r="87" spans="1:6" x14ac:dyDescent="0.2">
      <c r="A87" s="226">
        <v>93</v>
      </c>
      <c r="B87" s="226" t="s">
        <v>209</v>
      </c>
      <c r="C87" s="226">
        <f t="shared" si="0"/>
        <v>7</v>
      </c>
      <c r="E87" s="226">
        <f t="shared" si="1"/>
        <v>1.4</v>
      </c>
      <c r="F87" s="226">
        <f t="shared" si="2"/>
        <v>3.6</v>
      </c>
    </row>
    <row r="88" spans="1:6" x14ac:dyDescent="0.2">
      <c r="A88" s="226">
        <v>92</v>
      </c>
      <c r="B88" s="226" t="s">
        <v>210</v>
      </c>
      <c r="C88" s="226">
        <f t="shared" si="0"/>
        <v>8</v>
      </c>
      <c r="E88" s="226">
        <f t="shared" si="1"/>
        <v>1.6</v>
      </c>
      <c r="F88" s="226">
        <f t="shared" si="2"/>
        <v>3.4</v>
      </c>
    </row>
    <row r="89" spans="1:6" x14ac:dyDescent="0.2">
      <c r="A89" s="226">
        <v>91</v>
      </c>
      <c r="B89" s="226" t="s">
        <v>211</v>
      </c>
      <c r="C89" s="226">
        <f t="shared" si="0"/>
        <v>9</v>
      </c>
      <c r="E89" s="226">
        <f t="shared" si="1"/>
        <v>1.8</v>
      </c>
      <c r="F89" s="226">
        <f t="shared" si="2"/>
        <v>3.2</v>
      </c>
    </row>
    <row r="90" spans="1:6" x14ac:dyDescent="0.2">
      <c r="A90" s="230">
        <v>90</v>
      </c>
      <c r="B90" s="230" t="s">
        <v>212</v>
      </c>
      <c r="C90" s="230">
        <f t="shared" si="0"/>
        <v>10</v>
      </c>
      <c r="D90" s="230"/>
      <c r="E90" s="230">
        <f t="shared" si="1"/>
        <v>2</v>
      </c>
      <c r="F90" s="230">
        <f t="shared" si="2"/>
        <v>3</v>
      </c>
    </row>
    <row r="91" spans="1:6" x14ac:dyDescent="0.2">
      <c r="A91" s="226">
        <v>89</v>
      </c>
      <c r="B91" s="226" t="s">
        <v>213</v>
      </c>
      <c r="C91" s="226">
        <f t="shared" si="0"/>
        <v>11</v>
      </c>
      <c r="E91" s="226">
        <f t="shared" si="1"/>
        <v>2.2000000000000002</v>
      </c>
      <c r="F91" s="226">
        <f t="shared" si="2"/>
        <v>2.8</v>
      </c>
    </row>
    <row r="92" spans="1:6" x14ac:dyDescent="0.2">
      <c r="A92" s="226">
        <v>88</v>
      </c>
      <c r="B92" s="226" t="s">
        <v>214</v>
      </c>
      <c r="C92" s="226">
        <f t="shared" si="0"/>
        <v>12</v>
      </c>
      <c r="E92" s="226">
        <f t="shared" si="1"/>
        <v>2.4</v>
      </c>
      <c r="F92" s="226">
        <f t="shared" si="2"/>
        <v>2.6</v>
      </c>
    </row>
    <row r="93" spans="1:6" x14ac:dyDescent="0.2">
      <c r="A93" s="226">
        <v>87</v>
      </c>
      <c r="B93" s="226" t="s">
        <v>215</v>
      </c>
      <c r="C93" s="226">
        <f t="shared" si="0"/>
        <v>13</v>
      </c>
      <c r="E93" s="226">
        <f t="shared" si="1"/>
        <v>2.6</v>
      </c>
      <c r="F93" s="226">
        <f t="shared" si="2"/>
        <v>2.4</v>
      </c>
    </row>
    <row r="94" spans="1:6" x14ac:dyDescent="0.2">
      <c r="A94" s="226">
        <v>86</v>
      </c>
      <c r="B94" s="226" t="s">
        <v>216</v>
      </c>
      <c r="C94" s="226">
        <f t="shared" ref="C94:C100" si="3">100-A94</f>
        <v>14</v>
      </c>
      <c r="E94" s="226">
        <f t="shared" si="1"/>
        <v>2.8</v>
      </c>
      <c r="F94" s="226">
        <f t="shared" si="2"/>
        <v>2.2000000000000002</v>
      </c>
    </row>
    <row r="95" spans="1:6" x14ac:dyDescent="0.2">
      <c r="A95" s="226">
        <v>85</v>
      </c>
      <c r="B95" s="226" t="s">
        <v>217</v>
      </c>
      <c r="C95" s="226">
        <f t="shared" si="3"/>
        <v>15</v>
      </c>
      <c r="E95" s="226">
        <f t="shared" si="1"/>
        <v>3</v>
      </c>
      <c r="F95" s="226">
        <f t="shared" si="2"/>
        <v>2</v>
      </c>
    </row>
    <row r="96" spans="1:6" x14ac:dyDescent="0.2">
      <c r="A96" s="226">
        <v>84</v>
      </c>
      <c r="B96" s="226" t="s">
        <v>218</v>
      </c>
      <c r="C96" s="226">
        <f t="shared" si="3"/>
        <v>16</v>
      </c>
      <c r="E96" s="226">
        <f t="shared" si="1"/>
        <v>3.2</v>
      </c>
      <c r="F96" s="226">
        <f t="shared" si="2"/>
        <v>1.7999999999999998</v>
      </c>
    </row>
    <row r="97" spans="1:6" x14ac:dyDescent="0.2">
      <c r="A97" s="226">
        <v>83</v>
      </c>
      <c r="B97" s="226" t="s">
        <v>219</v>
      </c>
      <c r="C97" s="226">
        <f t="shared" si="3"/>
        <v>17</v>
      </c>
      <c r="E97" s="226">
        <f t="shared" si="1"/>
        <v>3.4</v>
      </c>
      <c r="F97" s="226">
        <f t="shared" si="2"/>
        <v>1.6</v>
      </c>
    </row>
    <row r="98" spans="1:6" x14ac:dyDescent="0.2">
      <c r="A98" s="226">
        <v>82</v>
      </c>
      <c r="B98" s="226" t="s">
        <v>220</v>
      </c>
      <c r="C98" s="226">
        <f t="shared" si="3"/>
        <v>18</v>
      </c>
      <c r="E98" s="226">
        <f t="shared" si="1"/>
        <v>3.6</v>
      </c>
      <c r="F98" s="226">
        <f t="shared" si="2"/>
        <v>1.4</v>
      </c>
    </row>
    <row r="99" spans="1:6" x14ac:dyDescent="0.2">
      <c r="A99" s="226">
        <v>81</v>
      </c>
      <c r="B99" s="226" t="s">
        <v>221</v>
      </c>
      <c r="C99" s="226">
        <f t="shared" si="3"/>
        <v>19</v>
      </c>
      <c r="E99" s="226">
        <f t="shared" si="1"/>
        <v>3.8</v>
      </c>
      <c r="F99" s="226">
        <f t="shared" si="2"/>
        <v>1.2000000000000002</v>
      </c>
    </row>
    <row r="100" spans="1:6" x14ac:dyDescent="0.2">
      <c r="A100" s="226">
        <v>80</v>
      </c>
      <c r="B100" s="226" t="s">
        <v>222</v>
      </c>
      <c r="C100" s="226">
        <f t="shared" si="3"/>
        <v>20</v>
      </c>
      <c r="E100" s="226">
        <f t="shared" si="1"/>
        <v>4</v>
      </c>
      <c r="F100" s="226">
        <f t="shared" si="2"/>
        <v>1</v>
      </c>
    </row>
    <row r="105" spans="1:6" ht="20.25" x14ac:dyDescent="0.2">
      <c r="A105" s="435" t="s">
        <v>407</v>
      </c>
      <c r="B105" s="435"/>
    </row>
    <row r="107" spans="1:6" x14ac:dyDescent="0.2">
      <c r="A107" s="226" t="s">
        <v>43</v>
      </c>
    </row>
    <row r="108" spans="1:6" x14ac:dyDescent="0.2">
      <c r="A108" s="226" t="s">
        <v>408</v>
      </c>
    </row>
    <row r="109" spans="1:6" x14ac:dyDescent="0.2">
      <c r="A109" s="226" t="s">
        <v>409</v>
      </c>
    </row>
    <row r="110" spans="1:6" x14ac:dyDescent="0.2">
      <c r="A110" s="226" t="s">
        <v>410</v>
      </c>
    </row>
    <row r="111" spans="1:6" x14ac:dyDescent="0.2">
      <c r="A111" s="226" t="s">
        <v>411</v>
      </c>
    </row>
    <row r="149" spans="1:5" x14ac:dyDescent="0.2">
      <c r="A149" s="226" t="s">
        <v>140</v>
      </c>
    </row>
    <row r="150" spans="1:5" x14ac:dyDescent="0.2">
      <c r="A150" s="226" t="s">
        <v>126</v>
      </c>
      <c r="E150" s="226">
        <v>1</v>
      </c>
    </row>
    <row r="151" spans="1:5" x14ac:dyDescent="0.2">
      <c r="A151" s="226" t="s">
        <v>129</v>
      </c>
      <c r="E151" s="226">
        <v>2</v>
      </c>
    </row>
    <row r="152" spans="1:5" x14ac:dyDescent="0.2">
      <c r="A152" s="226" t="s">
        <v>122</v>
      </c>
      <c r="E152" s="226">
        <v>3</v>
      </c>
    </row>
    <row r="153" spans="1:5" x14ac:dyDescent="0.2">
      <c r="A153" s="226" t="s">
        <v>120</v>
      </c>
      <c r="E153" s="226">
        <v>4</v>
      </c>
    </row>
    <row r="154" spans="1:5" x14ac:dyDescent="0.2">
      <c r="A154" s="226" t="s">
        <v>123</v>
      </c>
      <c r="E154" s="226">
        <v>5</v>
      </c>
    </row>
    <row r="155" spans="1:5" x14ac:dyDescent="0.2">
      <c r="A155" s="226" t="s">
        <v>127</v>
      </c>
      <c r="E155" s="226">
        <v>6</v>
      </c>
    </row>
    <row r="156" spans="1:5" x14ac:dyDescent="0.2">
      <c r="A156" s="226" t="s">
        <v>117</v>
      </c>
      <c r="E156" s="226">
        <v>7</v>
      </c>
    </row>
    <row r="157" spans="1:5" x14ac:dyDescent="0.2">
      <c r="A157" s="226" t="s">
        <v>130</v>
      </c>
      <c r="E157" s="226">
        <v>8</v>
      </c>
    </row>
    <row r="158" spans="1:5" x14ac:dyDescent="0.2">
      <c r="A158" s="226" t="s">
        <v>118</v>
      </c>
      <c r="E158" s="226">
        <v>9</v>
      </c>
    </row>
    <row r="159" spans="1:5" x14ac:dyDescent="0.2">
      <c r="A159" s="226" t="s">
        <v>124</v>
      </c>
      <c r="E159" s="226">
        <v>10</v>
      </c>
    </row>
    <row r="160" spans="1:5" x14ac:dyDescent="0.2">
      <c r="A160" s="226" t="s">
        <v>125</v>
      </c>
      <c r="E160" s="226">
        <v>11</v>
      </c>
    </row>
    <row r="161" spans="1:5" x14ac:dyDescent="0.2">
      <c r="A161" s="226" t="s">
        <v>121</v>
      </c>
      <c r="E161" s="226">
        <v>12</v>
      </c>
    </row>
    <row r="162" spans="1:5" x14ac:dyDescent="0.2">
      <c r="A162" s="226" t="s">
        <v>128</v>
      </c>
      <c r="E162" s="226">
        <v>13</v>
      </c>
    </row>
    <row r="163" spans="1:5" x14ac:dyDescent="0.2">
      <c r="A163" s="226" t="s">
        <v>119</v>
      </c>
      <c r="E163" s="226">
        <v>14</v>
      </c>
    </row>
    <row r="164" spans="1:5" x14ac:dyDescent="0.2">
      <c r="A164" s="226" t="s">
        <v>136</v>
      </c>
      <c r="E164" s="226">
        <v>15</v>
      </c>
    </row>
    <row r="165" spans="1:5" x14ac:dyDescent="0.2">
      <c r="A165" s="226" t="s">
        <v>132</v>
      </c>
      <c r="E165" s="226">
        <v>16</v>
      </c>
    </row>
    <row r="166" spans="1:5" x14ac:dyDescent="0.2">
      <c r="A166" s="226" t="s">
        <v>131</v>
      </c>
      <c r="E166" s="226">
        <v>17</v>
      </c>
    </row>
    <row r="167" spans="1:5" x14ac:dyDescent="0.2">
      <c r="A167" s="226" t="s">
        <v>133</v>
      </c>
      <c r="E167" s="226">
        <v>18</v>
      </c>
    </row>
    <row r="168" spans="1:5" x14ac:dyDescent="0.2">
      <c r="A168" s="226" t="s">
        <v>139</v>
      </c>
      <c r="E168" s="226">
        <v>19</v>
      </c>
    </row>
    <row r="169" spans="1:5" x14ac:dyDescent="0.2">
      <c r="A169" s="226" t="s">
        <v>137</v>
      </c>
      <c r="E169" s="226">
        <v>20</v>
      </c>
    </row>
    <row r="170" spans="1:5" x14ac:dyDescent="0.2">
      <c r="A170" s="226" t="s">
        <v>138</v>
      </c>
      <c r="E170" s="226">
        <v>21</v>
      </c>
    </row>
    <row r="171" spans="1:5" x14ac:dyDescent="0.2">
      <c r="A171" s="226" t="s">
        <v>135</v>
      </c>
      <c r="E171" s="226">
        <v>22</v>
      </c>
    </row>
    <row r="172" spans="1:5" x14ac:dyDescent="0.2">
      <c r="A172" s="226" t="s">
        <v>134</v>
      </c>
      <c r="E172" s="226">
        <v>23</v>
      </c>
    </row>
    <row r="186" spans="1:15" x14ac:dyDescent="0.2">
      <c r="A186" s="226" t="s">
        <v>413</v>
      </c>
    </row>
    <row r="187" spans="1:15" ht="131.25" x14ac:dyDescent="0.2">
      <c r="A187" s="285" t="s">
        <v>126</v>
      </c>
      <c r="B187" s="295" t="s">
        <v>367</v>
      </c>
      <c r="C187" s="295" t="s">
        <v>368</v>
      </c>
      <c r="D187" s="295" t="s">
        <v>369</v>
      </c>
      <c r="O187" s="226">
        <v>3</v>
      </c>
    </row>
    <row r="188" spans="1:15" ht="150" x14ac:dyDescent="0.2">
      <c r="A188" s="286" t="s">
        <v>123</v>
      </c>
      <c r="B188" s="296" t="s">
        <v>370</v>
      </c>
      <c r="C188" s="296" t="s">
        <v>371</v>
      </c>
      <c r="O188" s="226">
        <v>2</v>
      </c>
    </row>
    <row r="189" spans="1:15" ht="131.25" x14ac:dyDescent="0.2">
      <c r="A189" s="285" t="s">
        <v>330</v>
      </c>
      <c r="B189" s="295" t="s">
        <v>372</v>
      </c>
      <c r="C189" s="295" t="s">
        <v>373</v>
      </c>
      <c r="D189" s="295" t="s">
        <v>374</v>
      </c>
      <c r="E189" s="295" t="s">
        <v>375</v>
      </c>
      <c r="F189" s="295" t="s">
        <v>376</v>
      </c>
      <c r="G189" s="295" t="s">
        <v>377</v>
      </c>
      <c r="H189" s="295" t="s">
        <v>378</v>
      </c>
      <c r="I189" s="295" t="s">
        <v>379</v>
      </c>
      <c r="J189" s="295" t="s">
        <v>380</v>
      </c>
      <c r="K189" s="295" t="s">
        <v>381</v>
      </c>
      <c r="L189" s="295" t="s">
        <v>382</v>
      </c>
      <c r="M189" s="295" t="s">
        <v>383</v>
      </c>
      <c r="N189" s="295" t="s">
        <v>384</v>
      </c>
      <c r="O189" s="226">
        <v>13</v>
      </c>
    </row>
    <row r="190" spans="1:15" ht="112.5" x14ac:dyDescent="0.2">
      <c r="A190" s="285" t="s">
        <v>331</v>
      </c>
      <c r="B190" s="295" t="s">
        <v>385</v>
      </c>
      <c r="C190" s="295" t="s">
        <v>386</v>
      </c>
      <c r="D190" s="295" t="s">
        <v>387</v>
      </c>
      <c r="E190" s="295" t="s">
        <v>388</v>
      </c>
      <c r="F190" s="295" t="s">
        <v>389</v>
      </c>
      <c r="O190" s="226">
        <v>5</v>
      </c>
    </row>
    <row r="191" spans="1:15" ht="168.75" x14ac:dyDescent="0.2">
      <c r="A191" s="285" t="s">
        <v>124</v>
      </c>
      <c r="B191" s="295" t="s">
        <v>390</v>
      </c>
      <c r="C191" s="295" t="s">
        <v>391</v>
      </c>
      <c r="D191" s="295" t="s">
        <v>392</v>
      </c>
      <c r="E191" s="295" t="s">
        <v>393</v>
      </c>
      <c r="F191" s="295" t="s">
        <v>394</v>
      </c>
      <c r="G191" s="295" t="s">
        <v>395</v>
      </c>
      <c r="H191" s="295" t="s">
        <v>396</v>
      </c>
      <c r="I191" s="295" t="s">
        <v>397</v>
      </c>
      <c r="J191" s="295" t="s">
        <v>398</v>
      </c>
      <c r="K191" s="295" t="s">
        <v>399</v>
      </c>
      <c r="L191" s="295" t="s">
        <v>400</v>
      </c>
      <c r="O191" s="226">
        <v>13</v>
      </c>
    </row>
    <row r="192" spans="1:15" ht="93.75" x14ac:dyDescent="0.2">
      <c r="A192" s="285" t="s">
        <v>326</v>
      </c>
      <c r="B192" s="297" t="s">
        <v>401</v>
      </c>
      <c r="C192" s="295" t="s">
        <v>402</v>
      </c>
      <c r="D192" s="287" t="s">
        <v>403</v>
      </c>
      <c r="O192" s="226">
        <v>3</v>
      </c>
    </row>
    <row r="193" spans="1:15" ht="93.75" x14ac:dyDescent="0.2">
      <c r="A193" s="285" t="s">
        <v>131</v>
      </c>
      <c r="B193" s="288" t="s">
        <v>404</v>
      </c>
      <c r="C193" s="297" t="s">
        <v>405</v>
      </c>
      <c r="O193" s="226">
        <v>2</v>
      </c>
    </row>
    <row r="194" spans="1:15" ht="112.5" x14ac:dyDescent="0.2">
      <c r="A194" s="285" t="s">
        <v>138</v>
      </c>
      <c r="B194" s="295" t="s">
        <v>406</v>
      </c>
      <c r="O194" s="226">
        <v>1</v>
      </c>
    </row>
    <row r="195" spans="1:15" x14ac:dyDescent="0.2">
      <c r="O195" s="226">
        <f>SUM(O187:O194)</f>
        <v>42</v>
      </c>
    </row>
  </sheetData>
  <sortState ref="A155:N190">
    <sortCondition ref="A155"/>
  </sortState>
  <dataConsolidate/>
  <mergeCells count="1">
    <mergeCell ref="A105:B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HOW TO</vt:lpstr>
      <vt:lpstr>INTRO</vt:lpstr>
      <vt:lpstr>CDS</vt:lpstr>
      <vt:lpstr>TQF</vt:lpstr>
      <vt:lpstr>KPI1.1</vt:lpstr>
      <vt:lpstr>KPI</vt:lpstr>
      <vt:lpstr>Result</vt:lpstr>
      <vt:lpstr>ป.2</vt:lpstr>
      <vt:lpstr>info</vt:lpstr>
      <vt:lpstr>INTRO!Print_Area</vt:lpstr>
      <vt:lpstr>Result!Print_Area</vt:lpstr>
      <vt:lpstr>CDS!Print_Titles</vt:lpstr>
      <vt:lpstr>KPI1.1!Print_Titles</vt:lpstr>
      <vt:lpstr>Result!Print_Titles</vt:lpstr>
      <vt:lpstr>TQF!Print_Titles</vt:lpstr>
      <vt:lpstr>คณะทันตแพทยศาสตร์</vt:lpstr>
      <vt:lpstr>คณะแพทยศาสตร์</vt:lpstr>
      <vt:lpstr>คณะมนุษยศาสตร์</vt:lpstr>
      <vt:lpstr>คณะวิทยาศาสตร์</vt:lpstr>
      <vt:lpstr>คณะวิศวกรรมศาสตร์</vt:lpstr>
      <vt:lpstr>คณะเศรษฐศาสตร์</vt:lpstr>
      <vt:lpstr>วิทยาลัยนานาชาติเพื่อศึกษาความยั่งยืน</vt:lpstr>
      <vt:lpstr>สำนักทดสอบทางการศึกษาและจิตวิทยา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2019-05-15T03:32:44Z</cp:lastPrinted>
  <dcterms:created xsi:type="dcterms:W3CDTF">2014-11-07T09:05:38Z</dcterms:created>
  <dcterms:modified xsi:type="dcterms:W3CDTF">2019-05-24T06:37:10Z</dcterms:modified>
</cp:coreProperties>
</file>