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D-01\Dropbox\QD_Share61\8_งานหลักสูตร\ประเมิน 60\"/>
    </mc:Choice>
  </mc:AlternateContent>
  <bookViews>
    <workbookView xWindow="0" yWindow="0" windowWidth="28800" windowHeight="12030" activeTab="3"/>
  </bookViews>
  <sheets>
    <sheet name="HOW TO" sheetId="6" r:id="rId1"/>
    <sheet name="INTRO" sheetId="2" r:id="rId2"/>
    <sheet name="CDS" sheetId="5" r:id="rId3"/>
    <sheet name="TQF" sheetId="7" r:id="rId4"/>
    <sheet name="KPI1.1" sheetId="4" r:id="rId5"/>
    <sheet name="KPI" sheetId="8" state="hidden" r:id="rId6"/>
    <sheet name="info" sheetId="3" state="hidden" r:id="rId7"/>
    <sheet name="Result" sheetId="1" r:id="rId8"/>
    <sheet name="ป.2" sheetId="9" r:id="rId9"/>
    <sheet name="Sheet1" sheetId="10" r:id="rId10"/>
  </sheets>
  <definedNames>
    <definedName name="_xlnm.Print_Area" localSheetId="1">INTRO!$A$1:$J$39</definedName>
    <definedName name="_xlnm.Print_Titles" localSheetId="2">CDS!$3:$3</definedName>
    <definedName name="_xlnm.Print_Titles" localSheetId="1">INTRO!$10:$10</definedName>
    <definedName name="_xlnm.Print_Titles" localSheetId="4">KPI1.1!$4:$5</definedName>
    <definedName name="_xlnm.Print_Titles" localSheetId="7">Result!$3:$4</definedName>
  </definedNames>
  <calcPr calcId="162913"/>
</workbook>
</file>

<file path=xl/calcChain.xml><?xml version="1.0" encoding="utf-8"?>
<calcChain xmlns="http://schemas.openxmlformats.org/spreadsheetml/2006/main">
  <c r="B7" i="1" l="1"/>
  <c r="C29" i="5"/>
  <c r="B16" i="1" l="1"/>
  <c r="E16" i="1" s="1"/>
  <c r="G16" i="1"/>
  <c r="D1" i="9" l="1"/>
  <c r="K1" i="9"/>
  <c r="D11" i="9"/>
  <c r="C16" i="7" l="1"/>
  <c r="C18" i="7" l="1"/>
  <c r="C20" i="7"/>
  <c r="C15" i="5"/>
  <c r="C14" i="5"/>
  <c r="C66" i="5"/>
  <c r="C62" i="5"/>
  <c r="C61" i="5"/>
  <c r="H30" i="2" l="1"/>
  <c r="E28" i="2"/>
  <c r="H29" i="2"/>
  <c r="H28" i="2"/>
  <c r="F30" i="2"/>
  <c r="F29" i="2"/>
  <c r="F28" i="2"/>
  <c r="E30" i="2"/>
  <c r="E29" i="2"/>
  <c r="D30" i="2"/>
  <c r="D29" i="2"/>
  <c r="D28" i="2"/>
  <c r="A18" i="2"/>
  <c r="A19" i="2"/>
  <c r="A20" i="2"/>
  <c r="A21" i="2"/>
  <c r="A22" i="2"/>
  <c r="A23" i="2"/>
  <c r="A24" i="2"/>
  <c r="A11" i="2"/>
  <c r="A12" i="2" l="1"/>
  <c r="A13" i="2" l="1"/>
  <c r="A14" i="2" s="1"/>
  <c r="D22" i="1"/>
  <c r="C8" i="5"/>
  <c r="A15" i="2" l="1"/>
  <c r="A16" i="2" s="1"/>
  <c r="A17" i="2" s="1"/>
  <c r="H33" i="2"/>
  <c r="C56" i="3"/>
  <c r="C101" i="5" l="1"/>
  <c r="C94" i="5"/>
  <c r="C102" i="5" l="1"/>
  <c r="G1" i="1"/>
  <c r="B1" i="1"/>
  <c r="F24" i="1" l="1"/>
  <c r="F41" i="1" l="1"/>
  <c r="H10" i="9" l="1"/>
  <c r="F10" i="9"/>
  <c r="H32" i="2"/>
  <c r="C105" i="5" s="1"/>
  <c r="C106" i="5" s="1"/>
  <c r="H34" i="2" l="1"/>
  <c r="C94" i="3" l="1"/>
  <c r="E94" i="3" s="1"/>
  <c r="F94" i="3" s="1"/>
  <c r="C95" i="3"/>
  <c r="E95" i="3" s="1"/>
  <c r="F95" i="3" s="1"/>
  <c r="C96" i="3"/>
  <c r="E96" i="3" s="1"/>
  <c r="F96" i="3" s="1"/>
  <c r="C97" i="3"/>
  <c r="E97" i="3" s="1"/>
  <c r="F97" i="3" s="1"/>
  <c r="C98" i="3"/>
  <c r="E98" i="3" s="1"/>
  <c r="F98" i="3" s="1"/>
  <c r="C99" i="3"/>
  <c r="E99" i="3" s="1"/>
  <c r="F99" i="3" s="1"/>
  <c r="C100" i="3"/>
  <c r="E100" i="3" s="1"/>
  <c r="F100" i="3" s="1"/>
  <c r="C81" i="3"/>
  <c r="E81" i="3" s="1"/>
  <c r="F81" i="3" s="1"/>
  <c r="C82" i="3"/>
  <c r="E82" i="3" s="1"/>
  <c r="F82" i="3" s="1"/>
  <c r="C83" i="3"/>
  <c r="E83" i="3" s="1"/>
  <c r="F83" i="3" s="1"/>
  <c r="C84" i="3"/>
  <c r="E84" i="3" s="1"/>
  <c r="F84" i="3" s="1"/>
  <c r="C85" i="3"/>
  <c r="E85" i="3" s="1"/>
  <c r="F85" i="3" s="1"/>
  <c r="C86" i="3"/>
  <c r="E86" i="3" s="1"/>
  <c r="F86" i="3" s="1"/>
  <c r="C87" i="3"/>
  <c r="E87" i="3" s="1"/>
  <c r="F87" i="3" s="1"/>
  <c r="C88" i="3"/>
  <c r="E88" i="3" s="1"/>
  <c r="F88" i="3" s="1"/>
  <c r="C89" i="3"/>
  <c r="E89" i="3" s="1"/>
  <c r="F89" i="3" s="1"/>
  <c r="C90" i="3"/>
  <c r="E90" i="3" s="1"/>
  <c r="F90" i="3" s="1"/>
  <c r="C91" i="3"/>
  <c r="E91" i="3" s="1"/>
  <c r="F91" i="3" s="1"/>
  <c r="C92" i="3"/>
  <c r="E92" i="3" s="1"/>
  <c r="F92" i="3" s="1"/>
  <c r="C93" i="3"/>
  <c r="E93" i="3" s="1"/>
  <c r="F93" i="3" s="1"/>
  <c r="C80" i="3"/>
  <c r="A1" i="4" l="1"/>
  <c r="C1" i="4"/>
  <c r="C2" i="7"/>
  <c r="B2" i="7"/>
  <c r="F28" i="1" l="1"/>
  <c r="F26" i="1"/>
  <c r="F25" i="1"/>
  <c r="F38" i="1"/>
  <c r="F37" i="1"/>
  <c r="F36" i="1"/>
  <c r="E9" i="9" s="1"/>
  <c r="F34" i="1"/>
  <c r="H7" i="9" l="1"/>
  <c r="J7" i="9" s="1"/>
  <c r="E7" i="9"/>
  <c r="C50" i="5"/>
  <c r="C57" i="5" l="1"/>
  <c r="C21" i="7" l="1"/>
  <c r="G19" i="1"/>
  <c r="G8" i="1"/>
  <c r="G9" i="1"/>
  <c r="G10" i="1"/>
  <c r="G11" i="1"/>
  <c r="G12" i="1"/>
  <c r="G13" i="1"/>
  <c r="G14" i="1"/>
  <c r="G15" i="1"/>
  <c r="G7" i="1"/>
  <c r="A19" i="7"/>
  <c r="E39" i="1" l="1"/>
  <c r="F39" i="1" s="1"/>
  <c r="F12" i="9" s="1"/>
  <c r="F13" i="9" s="1"/>
  <c r="B17" i="4"/>
  <c r="B9" i="4"/>
  <c r="B8" i="4"/>
  <c r="J10" i="9" l="1"/>
  <c r="H9" i="9"/>
  <c r="J9" i="9" s="1"/>
  <c r="F9" i="9"/>
  <c r="C33" i="1"/>
  <c r="D33" i="1"/>
  <c r="H1" i="3"/>
  <c r="B22" i="1"/>
  <c r="C36" i="5"/>
  <c r="B16" i="4"/>
  <c r="C53" i="3"/>
  <c r="B15" i="4" s="1"/>
  <c r="C50" i="3"/>
  <c r="B14" i="4" s="1"/>
  <c r="C47" i="3"/>
  <c r="B13" i="4" s="1"/>
  <c r="B11" i="4"/>
  <c r="B10" i="4"/>
  <c r="C44" i="3"/>
  <c r="B12" i="4" s="1"/>
  <c r="B9" i="1"/>
  <c r="E9" i="1" s="1"/>
  <c r="B8" i="1"/>
  <c r="E8" i="1" s="1"/>
  <c r="E7" i="1"/>
  <c r="H2" i="3" l="1"/>
  <c r="B12" i="1"/>
  <c r="E12" i="1" s="1"/>
  <c r="B14" i="1"/>
  <c r="E14" i="1" s="1"/>
  <c r="C18" i="4"/>
  <c r="A19" i="4"/>
  <c r="E33" i="1"/>
  <c r="F33" i="1" s="1"/>
  <c r="B11" i="1"/>
  <c r="E11" i="1" s="1"/>
  <c r="B15" i="1"/>
  <c r="E15" i="1" s="1"/>
  <c r="B10" i="1"/>
  <c r="E10" i="1" s="1"/>
  <c r="I1" i="3"/>
  <c r="C19" i="4"/>
  <c r="B13" i="1"/>
  <c r="E13" i="1" s="1"/>
  <c r="C32" i="1"/>
  <c r="C21" i="1"/>
  <c r="C58" i="5"/>
  <c r="D21" i="1"/>
  <c r="C37" i="5"/>
  <c r="C22" i="1" s="1"/>
  <c r="E22" i="1" s="1"/>
  <c r="F22" i="1" s="1"/>
  <c r="E19" i="1" l="1"/>
  <c r="C5" i="9" s="1"/>
  <c r="E21" i="1"/>
  <c r="F21" i="1" s="1"/>
  <c r="C31" i="1"/>
  <c r="C30" i="1"/>
  <c r="G12" i="9" l="1"/>
  <c r="G13" i="9" s="1"/>
  <c r="G6" i="9"/>
  <c r="H6" i="9"/>
  <c r="J6" i="9" s="1"/>
  <c r="D31" i="1"/>
  <c r="E31" i="1" s="1"/>
  <c r="F31" i="1" s="1"/>
  <c r="D32" i="1"/>
  <c r="D30" i="1"/>
  <c r="C67" i="5"/>
  <c r="C68" i="5" s="1"/>
  <c r="C63" i="5"/>
  <c r="C64" i="5" s="1"/>
  <c r="E32" i="1" l="1"/>
  <c r="F32" i="1" s="1"/>
  <c r="E30" i="1"/>
  <c r="F30" i="1" s="1"/>
  <c r="F29" i="1" l="1"/>
  <c r="E8" i="9" l="1"/>
  <c r="H12" i="9"/>
  <c r="J12" i="9" s="1"/>
  <c r="E12" i="9"/>
  <c r="E13" i="9" s="1"/>
  <c r="E42" i="1"/>
  <c r="E43" i="1"/>
  <c r="A42" i="1" s="1"/>
  <c r="H8" i="9"/>
  <c r="J8" i="9" s="1"/>
  <c r="F42" i="1" l="1"/>
  <c r="G42" i="1" s="1"/>
  <c r="A25" i="2"/>
</calcChain>
</file>

<file path=xl/sharedStrings.xml><?xml version="1.0" encoding="utf-8"?>
<sst xmlns="http://schemas.openxmlformats.org/spreadsheetml/2006/main" count="648" uniqueCount="367">
  <si>
    <t>เกณฑ์การประเมิน</t>
  </si>
  <si>
    <t>1. จำนวนอาจารย์ประจำหลักสูตร</t>
  </si>
  <si>
    <t>2. คุณสมบัติของอาจารย์ประจำหลักสูตร</t>
  </si>
  <si>
    <t>ผลการดำเนินงาน</t>
  </si>
  <si>
    <t>ตัวตั้ง</t>
  </si>
  <si>
    <t>ตัวหาร</t>
  </si>
  <si>
    <t>ผลลัพธ์</t>
  </si>
  <si>
    <t>องค์ประกอบที่ 1  การกำกับมาตรฐาน</t>
  </si>
  <si>
    <t>ตัวบ่งชี้ TQF ข้อ 1 - 5 ต้องดำเนินการทุกตัว</t>
  </si>
  <si>
    <t>องค์ประกอบที่ 2 บัณฑิต</t>
  </si>
  <si>
    <t xml:space="preserve">ตัวบ่งชี้ที่ 2.2 </t>
  </si>
  <si>
    <t>องค์ประกอบที่ 3  นักศึกษา</t>
  </si>
  <si>
    <t>องค์ประกอบที่ 5 หลักสูตร การเรียนการสอน การประเมินผู้เรียน</t>
  </si>
  <si>
    <t>องค์ประกอบที่ 6  สิ่งสนับสนุนการเรียนรู้</t>
  </si>
  <si>
    <t>3. คุณสมบัติของอาจารย์ผู้รับผิดชอบหลักสูตร</t>
  </si>
  <si>
    <t>6. คุณสมบัติของอาจารย์ที่ปรึกษาวิทยานิพนธ์ร่วม (ถ้ามี)</t>
  </si>
  <si>
    <t xml:space="preserve">7. คุณสมบัติของอาจารย์ผู้สอบวิทยานิพนธ์  </t>
  </si>
  <si>
    <t>8. การตีพิมพ์เผยแพร่ผลงานของผู้สำเร็จการศึกษา</t>
  </si>
  <si>
    <t>9. ภาระงานอาจารย์ที่ปรึกษาวิทยานิพนธ์และการค้นคว้าอิสระในระดับบัณฑิตศึกษา</t>
  </si>
  <si>
    <t>ตัวบ่งชี้ 1.1 การบริหารจัดการหลักสูตรตามเกณฑ์มาตรฐานหลักสูตรที่กำหนดโดย สกอ.</t>
  </si>
  <si>
    <t xml:space="preserve">     ตัวบ่งชี้ที่ 4.2.2 ร้อยละของอาจารย์ประจำหลักสูตรที่ดำรงตำแหน่งทางวิชาการ</t>
  </si>
  <si>
    <t xml:space="preserve">     ตัวบ่งชี้ที่ 4.2.3 ผลงานวิชาการของอาจารย์ประจำหลักสูตร</t>
  </si>
  <si>
    <t>อาจารย์ประจำหลักสูตร</t>
  </si>
  <si>
    <t>ลำดับ</t>
  </si>
  <si>
    <t>ชื่อ - นามสกุล</t>
  </si>
  <si>
    <t>ตำแหน่งทางวิชาการ</t>
  </si>
  <si>
    <t>รองศาสตราจารย์</t>
  </si>
  <si>
    <t>ศ.</t>
  </si>
  <si>
    <t>ศาสตราจารย์</t>
  </si>
  <si>
    <t>ผู้ช่วยศาสตราจารย์</t>
  </si>
  <si>
    <t>อ.</t>
  </si>
  <si>
    <t>อาจารย์</t>
  </si>
  <si>
    <t>ตำแหน่งในหลักสูตร</t>
  </si>
  <si>
    <t>หลักสูตร</t>
  </si>
  <si>
    <t>-</t>
  </si>
  <si>
    <t>วุฒิการศึกษา</t>
  </si>
  <si>
    <t>ปีการศึกษาที่จบ</t>
  </si>
  <si>
    <t>ปริญญาตรี</t>
  </si>
  <si>
    <t>ปริญญาเอก</t>
  </si>
  <si>
    <t>ปริญญาโท</t>
  </si>
  <si>
    <t>อ.ประจำหลักสูตร</t>
  </si>
  <si>
    <t>5.คุณสมบัติของอาจารย์ที่ปรึกษาวิทยานิพนธ์หลัก (ก) และอาจารย์ที่ปรึกษาการค้นคว้าอิสระ (ข)</t>
  </si>
  <si>
    <t xml:space="preserve">4. คุณสมบัติของอาจารย์ผู้สอน
</t>
  </si>
  <si>
    <t>ผ่าน/ไม่ผ่าน</t>
  </si>
  <si>
    <t>ผ่าน</t>
  </si>
  <si>
    <t>ไม่ผ่าน</t>
  </si>
  <si>
    <t xml:space="preserve">สรุปผลการประเมินตัวบ่งชี้ที่ 1.1 </t>
  </si>
  <si>
    <t>เลือก</t>
  </si>
  <si>
    <t>ตัวบ่งชี้ที่  2.1  คุณภาพบัณฑิตตามกรอบมาตรฐานคุณวุฒิระดับอุดมศึกษาแห่งชาติ</t>
  </si>
  <si>
    <t>จำนวนบัณฑิตที่ได้รับการประเมินทั้งหมด</t>
  </si>
  <si>
    <t>จำนวนบัณฑิตที่สำเร็จการศึกษา</t>
  </si>
  <si>
    <t>ร้อยละของบัณฑิตที่ได้รับการประเมิน</t>
  </si>
  <si>
    <t>ตัวบ่งชี้ที่ 2.2  (ระดับปริญญาตรี) ร้อยละของบัณฑิตที่ได้งานทำหรือประกอบอาชีพอิสระภายใน 1 ปี</t>
  </si>
  <si>
    <t>จำนวนบัณฑิตที่ได้งานทำหรือประกอบอาชีพอิสระภายใน 1 ปี</t>
  </si>
  <si>
    <t>จำนวนบัณฑิตที่ตอบแบบสำรวจทั้งหมด</t>
  </si>
  <si>
    <t>คน</t>
  </si>
  <si>
    <t>ร้อยละของบัณฑิตที่ได้งานทำหรือประกอบอาชีพอิสระภายใน 1 ปี</t>
  </si>
  <si>
    <t>ตัวบ่งชี้ที่ 2.2  (ระดับปริญญาโท)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</si>
  <si>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(0.20)</t>
  </si>
  <si>
    <t>งานสร้างสรรค์ที่ได้รับการเผยแพร่ในระดับสถาบัน (0.40)</t>
  </si>
  <si>
    <t>งานสร้างสรรค์ที่ได้รับการเผยแพร่ในระดับชาติ (0.60.)</t>
  </si>
  <si>
    <t>งานสร้างสรรค์ที่ได้รับการเผยแพร่ในระดับความร่วมมือระหว่างประเทศ (0.80)</t>
  </si>
  <si>
    <t>งานสร้างสรรค์ที่ได้รับการเผยแพร่ในระดับภูมิภาคอาเซียน/นานาชาติ (1.00)</t>
  </si>
  <si>
    <t>จำนวนผู้สำเร็จการศึกษาระดับปริญญาโททั้งหมด</t>
  </si>
  <si>
    <t>จำนวนผู้สำเร็จการศึกษาระดับปริญญาเอกทั้งหมด</t>
  </si>
  <si>
    <t>ผลงานที่ได้รับการจดอนุสิทธิบัตร (0.40)</t>
  </si>
  <si>
    <t>บทความวิจัยฉบับสมบูรณ์ที่ตีพิมพ์ในรายงานสืบเนื่องจากการประชุมวิชาการระดับชาติ (0.20)</t>
  </si>
  <si>
    <t>บทความวิจัยที่ตีพิมพิ์ในวารสารวิชาการที่ปรากฏในฐานข้อมูล TCI กลุ่มที่ 2 (0.60)</t>
  </si>
  <si>
    <t>ร้อยละของอาจารย์ประจำหลักสูตรที่มีคุณวุฒิปริญญาเอก</t>
  </si>
  <si>
    <t>ร้อยละของอาจารย์ประจำหลักสูตรที่ดำรงตำแหน่งทางวิชาการ</t>
  </si>
  <si>
    <t>จำนวนอาจารย์ประจำหลักสูตรทั้งหมด</t>
  </si>
  <si>
    <t>คะแนน</t>
  </si>
  <si>
    <t>จำนวนอาจารย์ประจำหลักสูตรที่ดำรงตำแหน่งทางวิชาการ</t>
  </si>
  <si>
    <t>ค่าร้อยละของอาจารย์ประจำหลักสูตรที่ดำรงตำแหน่งทางวิชาการ คะแนนเต็ม 5 คะแนน</t>
  </si>
  <si>
    <t>ค่าร้อยละของอาจารย์ประจำหลักสูตรที่มีคุณวุฒิปริญญาเอกเที่ยบ คะแนนเต็ม 5 คะแนน</t>
  </si>
  <si>
    <t>วิทยาศาสตร์ และเทคโนโลยี</t>
  </si>
  <si>
    <t>วิทยาศาสตร์ สุขภาพ</t>
  </si>
  <si>
    <t>มนุษยศาสตร์ และสังคมศาสตร์</t>
  </si>
  <si>
    <t>อื่นๆ</t>
  </si>
  <si>
    <t>คลิกเลือกระดับหลักสูตร</t>
  </si>
  <si>
    <t>ชื่อหลักสูตร</t>
  </si>
  <si>
    <t>1.10</t>
  </si>
  <si>
    <t>1.11</t>
  </si>
  <si>
    <t>ไม่ประเมินในเกณฑ์นี้</t>
  </si>
  <si>
    <r>
      <t>ผลการประเมินตัวบ่งชี้ที่ 1.1</t>
    </r>
    <r>
      <rPr>
        <sz val="14"/>
        <color rgb="FFFF0000"/>
        <rFont val="Browallia New"/>
        <family val="2"/>
      </rPr>
      <t xml:space="preserve"> กำหนดไว้</t>
    </r>
    <r>
      <rPr>
        <u/>
        <sz val="14"/>
        <color rgb="FFFF0000"/>
        <rFont val="Browallia New"/>
        <family val="2"/>
      </rPr>
      <t>เป็น “</t>
    </r>
    <r>
      <rPr>
        <b/>
        <u/>
        <sz val="14"/>
        <color rgb="FFFF0000"/>
        <rFont val="Browallia New"/>
        <family val="2"/>
      </rPr>
      <t>ผ่าน” และ “ไม่ผ่าน” หากไม่ผ่านเกณฑ์ข้อใดข้อหนึ่ง ถือว่าหลักสูตรไม่ได้มาตรฐาน (คะแนนเป็น ศูนย์)</t>
    </r>
  </si>
  <si>
    <t>หน่วย</t>
  </si>
  <si>
    <t>รายการ</t>
  </si>
  <si>
    <t xml:space="preserve">ระดับคุณภาพผลงานวิชาการ (ระดับปริญญาเอก) </t>
  </si>
  <si>
    <t>ผลรวมค่าน้ำหนักงานสร้างสรรค์</t>
  </si>
  <si>
    <t>ผลรวมค่าน้ำหนักผลงานวิชาการ</t>
  </si>
  <si>
    <t>ผลรวมค่าน้ำหนักผลงานวิชาการและงานสร้างสรรค์</t>
  </si>
  <si>
    <t>1.12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</si>
  <si>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(ปริญญาเอก)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</si>
  <si>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(ปริญญาโท)</t>
  </si>
  <si>
    <t>ร้อยละของบัณฑิตปริญญาตรีที่ได้งานทำหรือประกอบอาชีพอิสระภายใน 1 ปี (ปริญญาตรี)</t>
  </si>
  <si>
    <t xml:space="preserve">ตัวบ่งชี้ที่ 2.2 (ระดับปริญญาเอก) ผลงานของนักศึกษาและผู้สำเร็จการศึกษาในระดับปริญญาเอกที่ได้รับการตีพิมพ์หรือเผยแพร่  </t>
  </si>
  <si>
    <t>ระดับคุณภาพงานสร้างสรรค์</t>
  </si>
  <si>
    <t xml:space="preserve">ระดับคุณภาพผลงานวิชาการ (ระดับปริญญาโท) </t>
  </si>
  <si>
    <t>ระดับคุณภาพงานสร้างสรรค์ (ระดับปริญญาโท)</t>
  </si>
  <si>
    <t>ระดับคุณภาพงานสร้างสรรค์ (ระดับปริญญาเอก)</t>
  </si>
  <si>
    <t>ตัวบ่งชี้ที่ 4.2  คุณภาพอาจารย์</t>
  </si>
  <si>
    <t>ตัวบ่งชี้ที่ 4.2.1 ร้อยละของอาจารย์ประจำหลักสูตรที่มีคุณวุฒิปริญญาเอก</t>
  </si>
  <si>
    <t xml:space="preserve">ตัวบ่งชี้ที่ 4.2.2 ร้อยละของอาจารย์ประจำหลักสูตรที่ดำรงตำแหน่งทางวิชาการ </t>
  </si>
  <si>
    <t xml:space="preserve">ตัวบ่งชี้ที่ 4.2.3 ผลงานวิชาการของอาจารย์ประจำหลักสูตร </t>
  </si>
  <si>
    <t>ระดับคุณภาพผลงานทางวิชาการ</t>
  </si>
  <si>
    <t>YES</t>
  </si>
  <si>
    <t>จำนวนอาจารย์ในหลักหลักสูตรทั้งหมด</t>
  </si>
  <si>
    <t>จำนวนผลงานที่ได้รับการจดสิทธิบัตร (1.00)</t>
  </si>
  <si>
    <t>จำนวนผลงานวิจัยที่หน่วยงานหรือองค์กรระดับชาติว่าจ้างให้ดำเนินการ (1.00)</t>
  </si>
  <si>
    <t>จำนวนผลงานค้นพบพันธุ์พืช พันธุ์สัตว์ ที่ค้นพบใหม่และได้รับการจดทะเบียน (1.00)</t>
  </si>
  <si>
    <t>จำนวนอาจารย์ประจำหลักสูตร</t>
  </si>
  <si>
    <t>จำนวนบทความที่ได้รับการอ้างอิงต่ออาจารย์ประจำหลักสูตร</t>
  </si>
  <si>
    <t xml:space="preserve">     ตัวบ่งชี้ที่ 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 (เฉพาะหลักสูตรปริญญาเอก)</t>
  </si>
  <si>
    <t>กลุ่มสาขาวิชา</t>
  </si>
  <si>
    <t>ตัวบ่งชี้ที่  4.1  การบริหารและพัฒนาอาจารย์</t>
  </si>
  <si>
    <t>ตัวบ่งชี้ที่  4.2  คุณภาพอาจารย์</t>
  </si>
  <si>
    <t>ตัวบ่งชี้ที่  4.3  ผลที่เกิดกับอาจารย์</t>
  </si>
  <si>
    <t>ตัวบ่งชี้ที่  5.1  สาระของรายวิชาในหลักสูตร</t>
  </si>
  <si>
    <t>ตัวบ่งชี้ที่  5.2  การวางระบบผู้สอนและกระบวนการจัดการเรียนการสอน</t>
  </si>
  <si>
    <t>ตัวบ่งชี้ที่  5.3 การประเมินผู้เรียน</t>
  </si>
  <si>
    <t>ตัวบ่งชี้ที่  5.4 ผลการดำเนินงานหลักสูตรตามกรอบมาตรฐานคุณวุฒิระดับอุดมศึกษาแห่งชาติ</t>
  </si>
  <si>
    <t>ตัวบ่งชี้ที่ 6.1 สิ่งสนับสนุนการเรียนรู้</t>
  </si>
  <si>
    <t>ส่วนที่ 2  ข้อมูลพื้นฐาน ( Common Data Set)</t>
  </si>
  <si>
    <t xml:space="preserve">คำชี้แจง : กรอกข้อมูลเป็นจำนวนตัวเลข เฉพาะช่องสีฟ้า </t>
  </si>
  <si>
    <t>ปรับปรุงอย่างยื่ง</t>
  </si>
  <si>
    <t>ปรับปรุง</t>
  </si>
  <si>
    <t>พอใช้</t>
  </si>
  <si>
    <t>ปานกลาง</t>
  </si>
  <si>
    <t>ดี</t>
  </si>
  <si>
    <t>ดีมาก</t>
  </si>
  <si>
    <t>อ.ผู้รับผิดชอบหลักสูตร</t>
  </si>
  <si>
    <t xml:space="preserve">คณะมนุษยศาสตร์ </t>
  </si>
  <si>
    <t xml:space="preserve">คณะวิทยาศาสตร์ </t>
  </si>
  <si>
    <t>คณะสังคมศาสตร์</t>
  </si>
  <si>
    <t>คณะพลศึกษา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</si>
  <si>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</si>
  <si>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</si>
  <si>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</si>
  <si>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</si>
  <si>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คณะศิลปกรรมศาสตร์</t>
  </si>
  <si>
    <t>คณะทันตแพทยศาสตร์</t>
  </si>
  <si>
    <t>คณะเภสัชศาสตร์</t>
  </si>
  <si>
    <t>คณะสหเวชศาสตร์</t>
  </si>
  <si>
    <t>คณะเทคโนโลยีและนวัตกรรมผลิตภัณฑ์การเกษตร</t>
  </si>
  <si>
    <t>คณะวัฒนธรรมสิ่งแวดล้อมและการท่องเที่ยวเชิงนิเวศ</t>
  </si>
  <si>
    <t>วิทยาลัยนานาชาติเพื่อศึกษาความยั่งยืน</t>
  </si>
  <si>
    <t>วิทยาลัยนวัตกรรมสื่อสารสังคม</t>
  </si>
  <si>
    <t>วิทยาลัยโพธิวิชชาลัย</t>
  </si>
  <si>
    <t xml:space="preserve">สำนักวิชาเศรษฐศาสตร์และนโยบายสาธารณะ </t>
  </si>
  <si>
    <t>สำนักนวัตกรรมการเรียนรู้</t>
  </si>
  <si>
    <t>บัณฑิตวิทยาลัย</t>
  </si>
  <si>
    <t>สถาบันวิจัยพฤติกรรมศาสตร์</t>
  </si>
  <si>
    <t>สำนักทดสอบทางการศึกษาและจิตวิทยา</t>
  </si>
  <si>
    <t>ศูนย์วิทยาศาสตรศึกษา</t>
  </si>
  <si>
    <t>เลือกหน่วยงาน</t>
  </si>
  <si>
    <t>ปริญญาโท และปริญญาเอก</t>
  </si>
  <si>
    <t>วิธีการใช้งานเบื้องต้น</t>
  </si>
  <si>
    <t>1. กรอกข้อมูลของหลักสูตรลงในช่อง( cell )ที่เป็นสีฟ้าเท่านั้น</t>
  </si>
  <si>
    <t xml:space="preserve">โปรแกรมคำนวณคะแนนการประเมินระดับหลักสูตร โดยสามารถประเมินหลักสูตร ระดับปริญญาตรี </t>
  </si>
  <si>
    <t>ช่อง สีฟ้า จะเป็นช่องที่สามารถเติมข้อมูลลงไปได้</t>
  </si>
  <si>
    <t>ช่องสีเหลือง  จะเป็นช่องที่มีรายการข้อมูลให้เลือกตอบ</t>
  </si>
  <si>
    <t>ช่องสีแดง จะไม่สามารถคลิกหรือ กรอกข้อมูลได้ เป็นช่องที่ คำนวณให้อัตโนมัติ</t>
  </si>
  <si>
    <r>
      <t>2. เลือกระดับหลักสูตรที่ทำการประเมิน ใน Sheet</t>
    </r>
    <r>
      <rPr>
        <b/>
        <sz val="14"/>
        <color rgb="FF00B0F0"/>
        <rFont val="Browallia New"/>
        <family val="2"/>
      </rPr>
      <t xml:space="preserve"> INTRO   </t>
    </r>
  </si>
  <si>
    <t>คลิก (Click)</t>
  </si>
  <si>
    <r>
      <t>3. กรอกข้อมูลเบื้องต้นของหลักสูตร และข้อมูลอาจารย์ประจำหลักสูตร ใน Sheet</t>
    </r>
    <r>
      <rPr>
        <b/>
        <sz val="14"/>
        <color rgb="FF00B0F0"/>
        <rFont val="Browallia New"/>
        <family val="2"/>
      </rPr>
      <t xml:space="preserve"> INTRO   </t>
    </r>
  </si>
  <si>
    <r>
      <t xml:space="preserve">4. กรอกข้อมูลพื้นฐาน Common Data Set ใน Sheet </t>
    </r>
    <r>
      <rPr>
        <b/>
        <sz val="14"/>
        <color rgb="FF00B0F0"/>
        <rFont val="Browallia New"/>
        <family val="2"/>
      </rPr>
      <t>CDS</t>
    </r>
  </si>
  <si>
    <r>
      <t xml:space="preserve">วุฒิการศึกษา
</t>
    </r>
    <r>
      <rPr>
        <b/>
        <sz val="12"/>
        <color theme="0" tint="-0.499984740745262"/>
        <rFont val="Browallia New"/>
        <family val="2"/>
      </rPr>
      <t>( เช่น  Ph.D., วท.ม. )</t>
    </r>
  </si>
  <si>
    <t xml:space="preserve">สาขาที่จบ
</t>
  </si>
  <si>
    <t>ระดับการศึกษา
สูงสุด 
(ตาม มคอ.2)</t>
  </si>
  <si>
    <t>รศ.</t>
  </si>
  <si>
    <t>ผศ.</t>
  </si>
  <si>
    <t>ผลการดำเนินงานหลักสูตรตามกรอบมาตรฐานคุณวุฒิระดับอุดมศึกษาแห่งชาติ</t>
  </si>
  <si>
    <t>อาจารย์ประจำหลักสูตรอย่างน้อยร้อยละ 80 มีส่วนร่วมในการประชุมเพื่อวางแผน ติดตาม และทบทวนการดำเนินงานหลักสูตร</t>
  </si>
  <si>
    <t>มีรายละเอียดของหลักสูตรตามแบบ มคอ.2 ที่สอดคล้องกับกรอบมาตรฐานคุณวุฒิแห่งชาติ หรือมาตรฐานคุณวุฒิสาขา / สาขาวิชา (ถ้ามี)</t>
  </si>
  <si>
    <t>มีรายละเอียดของรายวิชา และรายละเอียดของประสบการณ์ภาคสนาม (ถ้ามี) ตามแบบ มคอ.3 และมคอ. 4 อย่างน้อยก่อนการเปิดสอนในแต่ละภาคการศึกษาให้ครบทุกรายวิชา</t>
  </si>
  <si>
    <t>จัดทำรายงานผลการดำเนินการของรายวิชาและรายงานผลการดำเนินการของประสบการณ์ภาคสนาม (ภ้ามี) ตามแบบ มคอ.5 และมคอ. 6 ภายใน 30 วัน หลังสิ้นสุดภาคการศึกษาที่เปิดสอนให้ครบทุกรายวิชา</t>
  </si>
  <si>
    <t>จัดทำรายงานผลการดำเนินการของหลักสูตรตามแบบ มคอ.7 ภายใน 60 วันหลังสิ้นสุดปีการศึกษา</t>
  </si>
  <si>
    <t>มีการทวนสอบผลสัมฤทธิ์ของนักศึกษาตามมาตรฐานผลการเรียนรู้ ที่กำหนดใน มคอ.3 และมคอ.4 (ถ้ามี) อย่างน้อยร้อยละ 25 ของรายวิชาที่เปิดสอนในแต่ละปีการศึกษา</t>
  </si>
  <si>
    <t>มีการพัฒนา/ปรับปรุงการจัดการเรียนการสอน กลยุทธ์การสอน หรือ การประเมินผลการเรียนรู้ จากผลการประเมินการดำเนินงานที่รายงานใน มคอ.7 ปีที่แล้ว</t>
  </si>
  <si>
    <t>อาจารย์ใหม่ (ถ้ามี) ทุกคน ได้รับการปฐมนิเทศหรือคำแนะนำด้านการจัดการเรียนการสอน</t>
  </si>
  <si>
    <t>อาจารย์ประจำทุกคนได้รับการพัฒนาทางวิชาการ และ/หรือวิชาชีพ อย่างน้อยปีละหนึ่งครั้ง</t>
  </si>
  <si>
    <t>จำนวนบุคลากรสนับสนุนการเรียนการสอน (ถ้ามี) ได้รับการพัฒนาวิชาการ และ/หรือวิชาชีพ ไม่น้อยกว่าร้อยละ 50 ต่อปี</t>
  </si>
  <si>
    <t>ระดับความพึงพอใจของนักศึกษาปีสุดท้าย / บัณฑิตใหม่ที่มีต่อคุณภาพหลักสูตร เฉลี่ยไม่น้อยกว่า 3.5 จากคะแนนเต็ม 5.0</t>
  </si>
  <si>
    <t>ระดับความพึงพอใจของผู้ใช้บัณฑิตที่มีต่อบัณฑิตใหม่ เฉลี่ยไม่น้อยกว่า 3.5 จากคะแนนเต็ม 5.0</t>
  </si>
  <si>
    <t xml:space="preserve">ผลการดำเนินงานหลักสูตรตามกรอบมาตรฐานคุณวุฒิระดับอุดมศึกษาแห่งชาติ
</t>
  </si>
  <si>
    <t>ก</t>
  </si>
  <si>
    <t>ข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</si>
  <si>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 (0.20)</t>
  </si>
  <si>
    <t>งานสร้างสรรค์ที่ได้รับการเผยแพร่ระดับชาติ (0.60)</t>
  </si>
  <si>
    <t>งานสร้างสรรค์ที่ได้รับการเผยแพร่ในระดับภูมิภาคอาเซียน / นานาชาติ(1.00)</t>
  </si>
  <si>
    <t>หลักสูตร พ.ศ.</t>
  </si>
  <si>
    <t>ยังไม่ได้เลือกระดับการประเมินหลักสูตร หรือ แผนการเรียน</t>
  </si>
  <si>
    <r>
      <t xml:space="preserve">5. กรอกผลการดำเนินงานหลักสูตรตามกรอบมาตรฐานคุณวุฒิระดับอุดมศึกษาแห่งชาติ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</t>
    </r>
    <r>
      <rPr>
        <b/>
        <sz val="14"/>
        <color rgb="FF00B0F0"/>
        <rFont val="Browallia New"/>
        <family val="2"/>
      </rPr>
      <t>TQF</t>
    </r>
  </si>
  <si>
    <r>
      <t xml:space="preserve">6. กรอกผลการดำเนินงาน ตัวชี้วัดที่ 1.1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 </t>
    </r>
    <r>
      <rPr>
        <b/>
        <sz val="14"/>
        <color rgb="FF00B0F0"/>
        <rFont val="Browallia New"/>
        <family val="2"/>
      </rPr>
      <t xml:space="preserve">KPI1.1  </t>
    </r>
  </si>
  <si>
    <t>5.คุณสมบัติของอาจารย์ที่ปรึกษาวิทยานิพนธ์หลัก และอาจารย์ที่ปรึกษาการค้นคว้าอิสระ</t>
  </si>
  <si>
    <t>จำนวนบทความฉบับสมบูรณ์ที่ตีพิมพ์ลักษณะใดลักษณะหนึ่ง (0.10)</t>
  </si>
  <si>
    <t>จำนวนบทความฉบับสมบูรณ์ที่ตีพิมพ์ในรายงานสืบเนื่องจากการประชุมวิชาการระดับนานาชาติ (0.40)</t>
  </si>
  <si>
    <t>จำนวนบทความฉบับสมบูรณ์ที่ตีพิมพ์ในรายงานสืบเนื่องจากการประชุมวิชาการระดับชาติ (0.20)</t>
  </si>
  <si>
    <t>ยกเว้น</t>
  </si>
  <si>
    <t>จำนวนเกณฑ์ทั้งหมดที่ประเมิน</t>
  </si>
  <si>
    <t>ผลงานที่ได้รับการจดสิทธิบัตร (1.00)</t>
  </si>
  <si>
    <t>บทความวิจัยฉบับสมบูรณ์ที่ตีพิมพ์ในรายงานสืบเนื่องจากการประชุมวิชาการระดับนานาชาติ (0.40)</t>
  </si>
  <si>
    <t>บทความวิจัยฉบับสมบูรณ์ที่ตีพิมพ์ในวรสารวิชาการที่ไม่มีอยู่ในฐานข้อมูล แต่สถาบันนำเสนอสภาสถาบันเพื่ออนุมัติวารสารเหล่านี้ ตามประกาศ ก.พ.อ. (0.40)</t>
  </si>
  <si>
    <t>บทความวิจัยที่ตีพิมพิ์ในวารสารวิชาการระดับนานาชาติที่อยู่ในฐานข้อมูลที่เป็นที่ยอมรับระดับสากลนอกเหนือจากฐานข้อมูลระดับนานาชาติ ตามประกาศ ก.พ.อ.(0.80)</t>
  </si>
  <si>
    <t>บทความวิจัยที่ตีพิมพ์ในวารสารวิชาการที่ปรากฏในฐานข้อมูล TCI กลุ่มที่ 1 (0.80)</t>
  </si>
  <si>
    <t>บทความวิจัยที่ตีพิมพ์ในวารสารวิชาการระดับนานาชาติที่ปรากฏในฐานข้อมูลระดับนานาชาติ ตามประกาศ ก.พ.อ. (1.00)</t>
  </si>
  <si>
    <t>จำนวนผลงานที่ได้รับการจดอนุสิทธิบัตร (0.40)</t>
  </si>
  <si>
    <t>จำนวนบทความวิจัยที่ตีพิมพิ์ในวารสารวิชาการที่ปรากฏในฐานข้อมูล TCI กลุ่มที่ 2 (0.60)</t>
  </si>
  <si>
    <t>จำนวนบทความที่ตีพิมพ์ในวารสารวิชาการระดับชาติที่ปรากฏในฐานข้อมูลระดับชาติตามประกาศ ก.พ.อ.(0.80)</t>
  </si>
  <si>
    <t>จำนวนบทความวิจัยที่ตีพิมพิ์ในวารสารวิชาการที่ปรากฏในฐานข้อมูล TCI กลุ่มที่ 1 (0.80)</t>
  </si>
  <si>
    <t>จำนวนบทความที่ตีพิมพ์ในวรสารวิชาการระดับนานาชาติที่ปรากฏในฐานข้อมูลระดับชาติ  ตามประกาศ ก.พ.อ. (1.00)</t>
  </si>
  <si>
    <t>หมายเหตุ</t>
  </si>
  <si>
    <t>จำนวนบทความของอาจารย์ประจำหลักสูตรปริญญาเอกที่ได้รับการอ้างอิงในวารสารระดับชาติหรือนานาชาติ</t>
  </si>
  <si>
    <t>คำชี้แจง</t>
  </si>
  <si>
    <t>ผลการดำเนินการ</t>
  </si>
  <si>
    <r>
      <t>เลือก ผลการดำเนินการ</t>
    </r>
    <r>
      <rPr>
        <b/>
        <sz val="14"/>
        <color theme="1"/>
        <rFont val="Browallia New"/>
        <family val="2"/>
      </rPr>
      <t xml:space="preserve"> ผ่าน</t>
    </r>
    <r>
      <rPr>
        <sz val="14"/>
        <color theme="1"/>
        <rFont val="Browallia New"/>
        <family val="2"/>
      </rPr>
      <t xml:space="preserve"> หรือ </t>
    </r>
    <r>
      <rPr>
        <b/>
        <sz val="14"/>
        <color theme="1"/>
        <rFont val="Browallia New"/>
        <family val="2"/>
      </rPr>
      <t>ไม่ผ่าน</t>
    </r>
    <r>
      <rPr>
        <sz val="14"/>
        <color theme="1"/>
        <rFont val="Browallia New"/>
        <family val="2"/>
      </rPr>
      <t xml:space="preserve"> หากเกณฑ์ข้อใดไม่ต้องประเมินให้เลือก </t>
    </r>
    <r>
      <rPr>
        <b/>
        <sz val="14"/>
        <color theme="1"/>
        <rFont val="Browallia New"/>
        <family val="2"/>
      </rPr>
      <t>ยกเว้น</t>
    </r>
  </si>
  <si>
    <t>เกณฑ์ตามกรอบมาตรฐานคุณวุฒิระดับอุดมศึกษาแห่งชาติ</t>
  </si>
  <si>
    <r>
      <t xml:space="preserve">คำชี้แจง  การประเมินตัวบ่งชี้ 1.1 การบริหารจัดการหลักสูตรตามเกณฑ์มาตรฐานหลักสูตรที่กำหนดโดย สกอ. ให้เลือกผลการดำเนินงาน เป็น </t>
    </r>
    <r>
      <rPr>
        <b/>
        <sz val="18"/>
        <color theme="1"/>
        <rFont val="Browallia New"/>
        <family val="2"/>
      </rPr>
      <t>ผ่าน</t>
    </r>
    <r>
      <rPr>
        <sz val="18"/>
        <color theme="1"/>
        <rFont val="Browallia New"/>
        <family val="2"/>
      </rPr>
      <t xml:space="preserve"> หรือ </t>
    </r>
    <r>
      <rPr>
        <b/>
        <sz val="18"/>
        <color theme="1"/>
        <rFont val="Browallia New"/>
        <family val="2"/>
      </rPr>
      <t>ไม่ผ่าน</t>
    </r>
  </si>
  <si>
    <r>
      <t>เกณฑ์การประเมินข้อใดที่ ไม่มีการประเมิน จะปรากฏคำว่า "</t>
    </r>
    <r>
      <rPr>
        <b/>
        <sz val="16"/>
        <color theme="1"/>
        <rFont val="TH SarabunPSK"/>
        <family val="2"/>
      </rPr>
      <t>ไม่มีการประเมินในเกณฑ์นี้</t>
    </r>
    <r>
      <rPr>
        <sz val="16"/>
        <color theme="1"/>
        <rFont val="TH SarabunPSK"/>
        <family val="2"/>
      </rPr>
      <t>" ไม่ต้องใส่ผลการประเมิน</t>
    </r>
  </si>
  <si>
    <t>ผลการประเมินหลักสูตร</t>
  </si>
  <si>
    <t>7. กรอกผลการดำเนินงาน ตัวชี้วัดเชิงคุณภาพ ตามองค์ประกอบที่ 2 - 6</t>
  </si>
  <si>
    <r>
      <t xml:space="preserve">โดยเลือกผลคะแนนในช่อง การดำเนินงาน 0 - 5 คะแนน ใน Sheet </t>
    </r>
    <r>
      <rPr>
        <sz val="14"/>
        <color rgb="FF00B0F0"/>
        <rFont val="Browallia New"/>
        <family val="2"/>
      </rPr>
      <t>Result</t>
    </r>
  </si>
  <si>
    <t>ผลการดำเนินงานคิดเป็นร้อยละ</t>
  </si>
  <si>
    <t>ผลการดำเนินการคิดเป็นร้อยละ</t>
  </si>
  <si>
    <t>ระยะห่างคะแนน</t>
  </si>
  <si>
    <t>100 คิดเป็น</t>
  </si>
  <si>
    <t>80 คิดเป็น</t>
  </si>
  <si>
    <t>ค่า x</t>
  </si>
  <si>
    <t>ระยะห่างร้อยละ</t>
  </si>
  <si>
    <t>ค่าเทียบ</t>
  </si>
  <si>
    <t>100-99</t>
  </si>
  <si>
    <t>100-98</t>
  </si>
  <si>
    <t>100-97</t>
  </si>
  <si>
    <t>100-96</t>
  </si>
  <si>
    <t>199-95</t>
  </si>
  <si>
    <t>100-94</t>
  </si>
  <si>
    <t>100-93</t>
  </si>
  <si>
    <t>100-92</t>
  </si>
  <si>
    <t>100-91</t>
  </si>
  <si>
    <t>100-90</t>
  </si>
  <si>
    <t>100-89</t>
  </si>
  <si>
    <t>100-88</t>
  </si>
  <si>
    <t>100-87</t>
  </si>
  <si>
    <t>100-86</t>
  </si>
  <si>
    <t>100-85</t>
  </si>
  <si>
    <t>100-84</t>
  </si>
  <si>
    <t>100-83</t>
  </si>
  <si>
    <t>100-82</t>
  </si>
  <si>
    <t>100-81</t>
  </si>
  <si>
    <t>100-80</t>
  </si>
  <si>
    <t>จำนวนวารสารทางวิชาการที่ไม่อยู่ในฐานข้อมูลแต่สถาบันนำเสนอสภาอนุมัติตามประกาศ ก.พ.อ.   (0.40)</t>
  </si>
  <si>
    <t>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</t>
  </si>
  <si>
    <t>(ชื่อย่อ)</t>
  </si>
  <si>
    <t>ชื่อปริญญาและสาขาวิชา</t>
  </si>
  <si>
    <t>ภาควิชา/สาขาวิชา</t>
  </si>
  <si>
    <t>คณะ/หน่วยงาน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</si>
  <si>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</si>
  <si>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</si>
  <si>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</si>
  <si>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</si>
  <si>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</si>
  <si>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</si>
  <si>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วิชาเอก/แขนงวิชา *</t>
  </si>
  <si>
    <t xml:space="preserve">วิชาเอก/แขนงวิชา
*
</t>
  </si>
  <si>
    <t xml:space="preserve">การประเมินหลักสูตรระดับ    </t>
  </si>
  <si>
    <t>ตัวบ่งชี้ที่</t>
  </si>
  <si>
    <t>จำนวนอาจารย์ประจำหลักสูตรที่มีวุฒิปริญญาเอก</t>
  </si>
  <si>
    <t>****โปรแกรมคำนวณนี้ต้องใช้กับMicrosoft Office 2010 ขึ้นไป</t>
  </si>
  <si>
    <t>รายการแก้ไขอัพเดต</t>
  </si>
  <si>
    <t>แก้ไขคำผิด ตัวบ่งชี้ที่ 4.2.3 ผลงานวิชาการของอาจารย์ประจำหลักสูตร  CDS!B75-B76 ICT แก้เป็น TCI</t>
  </si>
  <si>
    <t>แก้ค่าน้ำหนัก ผลงานที่ได้รับการจดอนุสิทธิบัตร จากเดิมค่าน้ำหนัก 0.6 ปรับเป็น 0.4</t>
  </si>
  <si>
    <t>จำนวนผลงานวิชาการรับใช้สังคมที่ผ่านการประเมินตำแหน่งทางวิชาการแล้ว (1.00)</t>
  </si>
  <si>
    <t>ร้อยละ</t>
  </si>
  <si>
    <t>น้ำหนัก</t>
  </si>
  <si>
    <t>ชิ้น</t>
  </si>
  <si>
    <t>ชิ้น/คน</t>
  </si>
  <si>
    <t>ร้อยละของบัณฑิตที่ตอบแบบสำรวจต้องไม่น้อยกว่าร้อยละ 70 ของจำนวนบัณฑิตที่สำเร็จการศึกษา</t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</si>
  <si>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</si>
  <si>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</si>
  <si>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</si>
  <si>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</si>
  <si>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</si>
  <si>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</si>
  <si>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</si>
  <si>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</si>
  <si>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</si>
  <si>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</si>
  <si>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 xml:space="preserve"> 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</si>
  <si>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</si>
  <si>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</si>
  <si>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</si>
  <si>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</si>
  <si>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</si>
  <si>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</si>
  <si>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</si>
  <si>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t xml:space="preserve">    ประเด็นที่ 4.2.1 ร้อยละของอาจารย์ประจำหลักสูตรที่มีคุณวุฒิปริญญาเอก</t>
  </si>
  <si>
    <t>จำนวนบัณฑิตที่ศึกษาต่อ</t>
  </si>
  <si>
    <t>จำนวนบัณฑิตที่ไม่ได้งานทำ</t>
  </si>
  <si>
    <t>แก้ไขตัวเลือก Sheet KPI1.1 ให้มีตัวเลือก ยกเว้น เพื่อยกเว้นการประเมินได้</t>
  </si>
  <si>
    <t>ตัดเกณฑ์ข้อ 12 ในตัวชี้วัด 1.1</t>
  </si>
  <si>
    <t>ตัวบ่งชี้ที่  3.1  การรับนิสิต</t>
  </si>
  <si>
    <t>ตัวบ่งชี้ที่  3.2  การส่งเสริมและพัฒนานิสิต</t>
  </si>
  <si>
    <t>ตัวบ่งชี้ที่  3.3  ผลที่เกิดกับนิสิต</t>
  </si>
  <si>
    <t>องค์ประกอบที่ 4  อาจารย์ประจำหลักสูตร</t>
  </si>
  <si>
    <t>จำนวนตัวบ่งชี้</t>
  </si>
  <si>
    <t>คะแนนการประเมินเฉลี่ย</t>
  </si>
  <si>
    <t>ผลการประเมิน</t>
  </si>
  <si>
    <t>I</t>
  </si>
  <si>
    <t>P</t>
  </si>
  <si>
    <t>O</t>
  </si>
  <si>
    <t>คะแนนเฉลี่ย</t>
  </si>
  <si>
    <t>องค์ประกอบที่</t>
  </si>
  <si>
    <t>คะแนนผ่าน</t>
  </si>
  <si>
    <t>คะแนนเฉลี่ยของทุกตัวบ่งชี้ในองค์ประกอบที่ 2-6</t>
  </si>
  <si>
    <t>คณะ /หน่วยงาน</t>
  </si>
  <si>
    <t>ตารางการวิเคราะห์คุณภาพการศึกษาภายในระดับหลักสูตร</t>
  </si>
  <si>
    <t>เพิ่มตาราง ป.2</t>
  </si>
  <si>
    <t>โปรดระบุเหตุผลในการได้คะแนน 4 ขึ้นไป
(ตัวบ่งชี้ที่ 3.1- ตัวบ่งชี้ที่ 6.1)</t>
  </si>
  <si>
    <t>ระบุเหตุผล
(กรณีผลการดำเนินงาน “ไม่ผ่าน”)</t>
  </si>
  <si>
    <t>ผลรวมของค่าเฉลี่ย</t>
  </si>
  <si>
    <r>
      <t xml:space="preserve">หากไม่มีนิสิตปีสุดท้ายให้ระบุว่า </t>
    </r>
    <r>
      <rPr>
        <sz val="14"/>
        <color rgb="FFFF0000"/>
        <rFont val="Browallia New"/>
        <family val="2"/>
      </rPr>
      <t>"ยกเว้น"</t>
    </r>
  </si>
  <si>
    <t>คะแนนเฉลี่ยของระดับความพึงพอใจของนิสิตปีสุดท้าย / บัณฑิตใหม่ที่มีต่อคุณภาพหลักสูตร (คะแนนเต็ม 5 คะแนน)</t>
  </si>
  <si>
    <t>ผลการประเมิน
0.01 - 2.00 ระดับคุณภาพน้อย
2.01 - 3.00 ระดับคุณภาพปานกลาง
3.01 - 4.00 ระดับคุณภาพดี
4.01 - 5.00 ระดับคุณภาพดีมาก</t>
  </si>
  <si>
    <t xml:space="preserve"> แก้ไขการคำนวณ ป.2</t>
  </si>
  <si>
    <t xml:space="preserve"> แก้ไขการคำนวณ ป.3</t>
  </si>
  <si>
    <t xml:space="preserve"> แก้ไขการคำนวณ ป.2 องค์ประกอบที่ 6</t>
  </si>
  <si>
    <t>แก้ไขการคำนวณ 2.2 ระดับปริญญาเอก</t>
  </si>
  <si>
    <t>update 07072016</t>
  </si>
  <si>
    <t>ประธานหลักสูตร</t>
  </si>
  <si>
    <t>ผู้ประสานงานหลักสูตร</t>
  </si>
  <si>
    <t>1 คะแนน</t>
  </si>
  <si>
    <t>5 คะแนน</t>
  </si>
  <si>
    <t>ปรับแก้ข้อความ อาจารย์ประจำหลักสูตร/</t>
  </si>
  <si>
    <t>เลือกเกฑ์การประเมิน</t>
  </si>
  <si>
    <t>เกณฑ์ปี 48</t>
  </si>
  <si>
    <t>เกณฑ์ปี 58</t>
  </si>
  <si>
    <t xml:space="preserve"> </t>
  </si>
  <si>
    <t>10. การปรับปรุงหลักสูตรตามรอบระยะเวลาที่กำหนด</t>
  </si>
  <si>
    <t>1. จำนวนอาจารย์ผู้รับผิดชอบหลักสูตร</t>
  </si>
  <si>
    <t>2. คุณสมบัติของอาจารย์ผู้รับผิดชอบหลักสูตร</t>
  </si>
  <si>
    <t>3. คุณสมบัติของอาจารย์ผู้ประจำหลักสูตร</t>
  </si>
  <si>
    <t>ไม่น้อยกว่า 3 คนและเป็นอาจารย์ผู้รับผิดชอบหลักสูตรเกินกว่า 1 หลักสูตรไม่ได้ และประจำหลักสูตรตลอดระยะเวลาที่จัดการศึกษาตามหลักสูตรนั้น</t>
  </si>
  <si>
    <t>ไม่น้อยกว่า 5 คนและเป็นอาจารย์ผู้รับผิดชอบหลักสูตรเกินกว่า 1 หลักสูตรไม่ได้ และประจำหลักสูตรตลอดระยะเวลาที่จัดการศึกษาตามหลักสูตรนั้น</t>
  </si>
  <si>
    <t>1. อาจารย์ประจำ มีคุณวุฒิปริญญาเอกหรือเทียบเท่า หรือขั้นต่ำปริญญาโทหรือเทียบเท่าที่มีตำแหน่งรองศาสตราจารย์ในสาขาวิชานั้นหรือสาขาวิชาที่สัมพันธ์กัน หรือสาขาวิชาของรายวิชาที่สอน และต้องมีประสบการณ์ด้านการสอน และมีผลงานทางวิชาการอย่างน่อย 1 รายการในรอบ 5 ปีย้อนหลัง 2. อาจารย์พิเศษ มีคุณวุฒิปริญญาเอกหรือเทียบเท่า หรือขั้นต่ำปริญญาโทหรือเทียบเท่ามีประสบการณ์ทำงานที่เกี่ยวข้องกับวิชาที่สอน และผลงานทางวิชาการอย่างน่อย 1 รายการในรอบ 5 ปีย้อนหลัง ทั้งนี้ มีชั่วโมงสอนไม่เกินร้อยละ 50 ของรายวิชา โดยมีอาจารย์ประจำเป็นผู้รับผิดชอบรายวิชานั้น</t>
  </si>
  <si>
    <t>1.อาจารย์ประจำหรือ มีคุณวุฒิระดับปริญญาโทหรือเทียบเท่าในสาขาวิชานั้น หรือสาขาวิชาที่สัมพันธ์กัน หรือสาขาวิชาของรายวิชาที่สอน ต้องมีประสบการณ์ด้านการสอน และมีผลงานทางวิชาการอย่างน้อย 1 รายการในรอบ 5 ปีย้อนหลัง 2. อาจารย์พิเศษ มีคุณวุฒิระดับปริญญาโทหรือเทียบเท่าในสาขาวิชานั้น หรือสาขาวิชาที่สัมพันธ์กัน หรือสาขาวิชาของรายวิชาที่สอน มีประสบการณ์ทำงานที่เกี่ยวข้องกับวิชาที่สอน และมีผลงานทางวิชาการอย่างน่อย 1 รายการในรอบ 5 ปีย้อนหลัง ทั้งนี้ มีชั่วโมงสอนไม่เกินร้อยละ 50 ของรายวิชา โดยมีอาจารย์ประจำเป็นผู้รับผิดชอบรายวิชานั้น</t>
  </si>
  <si>
    <t>มีคุณวุฒิระดับปริญญาเอกหรือเทียบเท่า หรือขั้นต่ำปริญญาโทหรือเทียบเท่าที่มีตำแหน่งศาสตราจารย์ขึ้นไป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</si>
  <si>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มีคุณวุฒิระดับปริญญาเอกหรือเทียบเท่า หรือขั้นต่ำปริญญาโทหรือเทียบเท่าที่มีตำแหน่งรองศาสตราจารย์ขึ้นไป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</si>
  <si>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มีผลงานทางวิชาการอย่างน้อย 1 รายการในรอบ 5 ปีย้อนหลัง</t>
  </si>
  <si>
    <t>มีคุณวุฒิไม่ต่ำกว่าปริญญาเอกหรือเทียบเท่า หรือขั้นต่ำปริญญาโทหรือเทียบเท่าที่มีตำแหน่งรองศาสตราจารย์ขึ้นไป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</si>
  <si>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 xml:space="preserve">มีคุณวุฒิไม่ต่ำกว่าปริญญาโทหรือเทียบเท่า มีผลงานทางวิชาการอย่างน้อย 3 รายการในรอบ 5 ปีย้อนหลัง โดยอย่างน้อย 1 รายการต้องเป็นผลงานวิจัย </t>
  </si>
  <si>
    <t>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มีผลงานทางวิชาการอย่างน้อย 1 รายการในรอบ 5 ปีย้อนหลัง ไม่จำกัดจำนวนและประจำได้มากกว่าหนึ่งหลักสูตร</t>
  </si>
  <si>
    <t>1. อาจารย์ประจำ 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หากเป็นผู้สอนก่อนเกณฑ์นี้ประกาศใช้ อนุโลมคุณวุฒิระดับปริญญาตรีได้  2. อาจารย์พิเศษ -มีคุณวุฒิระดับปริญญาโท หรือคุณวุฒิปริญญาตรีหรือเทียบเท่า และมีประสบการณ์ทำงานที่เกี่ยวข้องกับวิชาที่สอนไม่น้อยกว่า 6 ปี ทั้งนี้ มีชั่วโมงสอนไม่เกินร้อยละ 50 ของรายวิชา โดยมีอาจารย์ประจำเป็นผู้รับผิดชอบรายวิชานั้น</t>
  </si>
  <si>
    <t>เป็นอาจารย์ประจำหลักสูตรที่มีคุณวุฒิปริญญาเอกหรือเทียบเท่า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 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</si>
  <si>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เป็นอาจารย์ประจำหลักสูตรที่มีคุณวุฒิปริญญาเอกหรือเทียบเท่า หรือขั้นต่ำปริญญาโทหรือเทียบเท่า และดำรงตำแหน่งทางวิชาการไม่ต่ำกว่ารองศาสตราจารย์ในสาขาวิชานั้นหรือสาขาวิชาที่สัมพันธ์กัน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</si>
  <si>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1.อาจารย์ประจำมีคุณวุฒิปริญญาเอกหรือเทียบเท่า หรือขั้นต่ำปริญญาโทหรือเทียบเท่า และดำรงตำแหน่งทางวิชาการไม่ต่ำกว่ารองศาสตราจารย์ในสาขาวิชานั้น 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 2.ผู้ทรงคุณวุฒิภายนอก มีคุณวุฒิระดับปริญญาเอกหรือเทียบเท่า มีผลงานทางวิชาการที่ได้รับการตีพิมพ์เผยแพร่ในระดับนานาชาติ ซึ่งตรงหรือสัมพันธ์กับหัวข้อวิทยานิพนธ์หรือการค้นคว้าอิสระ ไม่น้อยกว่า 5 เรื่อง 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 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</si>
  <si>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1.อาจารย์ประจำมีคุณวุฒิปริญญาเอกหรือเทียบเท่า หรือขั้นต่ำปริญญาโทหรือเทียบเท่า และดำรงตำแหน่งทางวิชาการไม่ต่ำกว่ารองศาสตราจารย์ในสาขาวิชานั้น 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 2.ผู้ทรงคุณวุฒิภายนอก มีคุณวุฒิระดับปริญญาเอกหรือเทียบเท่า มีผลงานทางวิชาการที่ได้รับการตีพิมพ์เผยแพร่ในระดับชาติ ซึ่งตรงหรือสัมพันธ์กับหัวข้อวิทยานิพนธ์ ไม่น้อยกว่า 10 เรื่อง 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 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</si>
  <si>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1. อาจารย์ผู้สอบวิทยานิพนธ์ ประกอบด้วย อาจารย์ประจำหลักสูตรและผู้ทรงคุณวุฒิจากภายนอกไม่น้อยกว่า ๓ คน ประธานผู้สอบวิทยานิพนธ์ต้องไม่เป็นที่ปรึกษาวิทยานิพนธ์หลักหรือที่ปรึกษาวิทยานิพนธ์ร่วม 2.อาจารย์ประจำหลักสูตรคุณวุฒิระดับปริญญาเอกหรือเทียบเท่า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หรือสาขาวิชาที่สัมพันธ์กัน - มีผลงานทางวิชาการอย่างน้อย ๓ รายการในรอบ ๕ ปีย้อนหลัง โดยอย่างน้อย ๑ รายการต้องเป็นผลงานวิจัย 3. ผู้ทรงคุณวุฒิภายนอกคุณวุฒิระดับปริญญาเอกหรือเทียบเท่ามีผลงานทางวิชาการที่ได้รับการตีพิมพ์เผยแพร่ในระดับชาติ ซึ่งตรงหรือสัมพันธ์กับหัวข้อวิทยานิพนธ์หรือการค้นคว้าอิสระไม่น้อยกว่า ๑๐ เรื่อง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</si>
  <si>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1. อาจารย์ผู้สอบวิทยานิพนธ์ ประกอบด้วย อาจารย์ประจำหลักสูตรและผู้ทรงคุณวุฒิจากภายนอกไม่น้อยกว่า ๕ คน ประธานผู้สอบวิทยานิพนธ์ต้องเป็นผู้ทรงคุณวุฒิจากภายนอก 2.อาจารย์ประจำหลักสูตร มีคุณวุฒิระดับปริญญาเอกหรือเทียบเท่า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หรือสาขาวิชาที่สัมพันธ์กัน มีผลงานทางวิชาการอย่างน้อย ๓ รายการในรอบ ๕ ปีย้อนหลัง โดยอย่างน้อย ๑ รายการต้องเป็นผลงานวิจัย 3. ผู้ทรงคุณวุฒิภายนอกคุณวุฒิระดับปริญญาเอกหรือเทียบเท่า - มีผลงานทางวิชาการที่ได้รับการตีพิมพ์เผยแพร่ในระดับนานาชาติ ซึ่งตรงหรือสัมพันธ์กับหัวข้อวิทยานิพนธ์หรือการค้นคว้าอิสระไม่น้อยกว่า ๕ เรื่อง - 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</si>
  <si>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แบบ ๑ ต้องได้รับการยอมรับให้ตีพิมพ์ในวารสารระดับชาติหรือนานาชาติที่มีคุณภาพตามประกาศของ กกอ. อย่างน้อย ๒ เรื่อง แบบ ๒ ต้องได้รับการยอมรับให้ตีพิมพ์ในวารสารระดับชาติหรือนานาชาติที่มีคุณภาพตามประกาศของ กกอ.</t>
  </si>
  <si>
    <t>1. แผน ก ๑ต้องได้รับการยอมรับให้ตีพิมพ์ในวารสารระดับชาติหรือนานาชาติที่มีคุณภาพตามประกาศของ กกอ.  2. แผน ก ๒ ต้องได้รับการยอมรับให้ตีพิมพ์ในวารสารระดับชาติหรือนานาชาติที่มีคุณภาพตามประกาศของ กกอ. หรือนำเสนอต่อที่ประชุมวิชาการโดยบทความที่นำเสนอได้รับการตีพิมพ์ในรายงานสืบเนื่องจากการประชุมทางวิชาการ (Proceeding) 3.- แผน ข รายงานการค้นคว้าหรือส่วนหนึ่งของการค้นคว้าอิสระต้องได้รับการเผยแพร่ในลักษณะใดลักษณะหนึ่งที่สืบค้นได้</t>
  </si>
  <si>
    <t>1. วิทยานิพนธ์ อาจารย์คุณวุฒิปริญญาเอก ๑ คนต่อนักศึกษา ๕ คน 2. การค้นคว้าอิสระ อาจารย์คุณวุฒิปริญญาเอก ๑ คนต่อนักศึกษา ๑๕ คน หากอาจารย์คุณวุฒิปริญญาเอก และมีตำแหน่งทางวิชาการ หรือปริญญาทและมีตำแหน่งทางวิชาการระดับรองศาสตราจารย์ขึ้นไป ๑ คนต่อนักศึกษา ๑๐ คน หากเป็นที่ปรึกษาทั้ง ๒ ประเภทให้เทียบสัดส่วนนักศึกษาที่ทำวิทยานิพนธ์ ๑ คนเทียบเท่ากับนักศึกษาที่ค้นคว้าอิสระ ๓ คน</t>
  </si>
  <si>
    <t xml:space="preserve">ต้องไม่เกิน 5 ปี ตามรอบระยะเวลาของหลักสูตร หรืออย่างน้อยทุกๆ 5 ปี
</t>
  </si>
  <si>
    <t xml:space="preserve"> - อาจารย์ที่เป็นอาจารย์ผู้รับผิดชอบหลักสูตร</t>
  </si>
  <si>
    <t xml:space="preserve">สรุปข้อมูลอาจารย์ผู้รับผิดชอบหลักสูตร และ อาจารย์ประจำหลักสูตร
</t>
  </si>
  <si>
    <t>รายชื่ออาจารย์ผู้รับผิดชอบหลักสูตร</t>
  </si>
  <si>
    <t xml:space="preserve"> - อาจารย์ที่เป็นอาจารย์ประจำหลักสูตรทั้งหมด</t>
  </si>
  <si>
    <t>ข้อมูลช่องนี้มาจาก CDS ลำดับที่89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</si>
</sst>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7" formatCode="\ร\้\อ\ย\ล\ะ\ 0.00"/>
    <numFmt numFmtId="188" formatCode="0.0"/>
    <numFmt numFmtId="189" formatCode="0\ \ข\้\อ"/>
    <numFmt numFmtId="190" formatCode="#,##0.0"/>
    <numFmt numFmtId="191" formatCode="#,##0_ ;\-#,##0\ "/>
    <numFmt numFmtId="192" formatCode="[$-1010409]#,##0.00;\-#,##0.00"/>
    <numFmt numFmtId="193" formatCode="#,##0.00_ ;\-#,##0.00\ "/>
  </numFmts>
  <fonts count="40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color rgb="FF000000"/>
      <name val="Browallia New"/>
      <family val="2"/>
    </font>
    <font>
      <b/>
      <sz val="14"/>
      <color rgb="FFFF0000"/>
      <name val="Browallia New"/>
      <family val="2"/>
    </font>
    <font>
      <sz val="14"/>
      <color rgb="FFFF0000"/>
      <name val="Browallia New"/>
      <family val="2"/>
    </font>
    <font>
      <u/>
      <sz val="14"/>
      <color rgb="FFFF0000"/>
      <name val="Browallia New"/>
      <family val="2"/>
    </font>
    <font>
      <b/>
      <u/>
      <sz val="14"/>
      <color rgb="FFFF0000"/>
      <name val="Browallia New"/>
      <family val="2"/>
    </font>
    <font>
      <b/>
      <sz val="14"/>
      <color rgb="FF00B050"/>
      <name val="Browallia New"/>
      <family val="2"/>
    </font>
    <font>
      <b/>
      <sz val="14"/>
      <color rgb="FF00B0F0"/>
      <name val="Browallia New"/>
      <family val="2"/>
    </font>
    <font>
      <u/>
      <sz val="11"/>
      <color theme="10"/>
      <name val="Tahoma"/>
      <family val="2"/>
      <charset val="222"/>
      <scheme val="minor"/>
    </font>
    <font>
      <b/>
      <sz val="12"/>
      <color theme="0" tint="-0.499984740745262"/>
      <name val="Browallia New"/>
      <family val="2"/>
    </font>
    <font>
      <sz val="18"/>
      <name val="Browallia New"/>
      <family val="2"/>
    </font>
    <font>
      <b/>
      <sz val="18"/>
      <color theme="1"/>
      <name val="Browallia New"/>
      <family val="2"/>
    </font>
    <font>
      <sz val="14"/>
      <name val="Browallia New"/>
      <family val="2"/>
    </font>
    <font>
      <sz val="16"/>
      <color theme="1"/>
      <name val="TH SarabunPSK"/>
      <family val="2"/>
    </font>
    <font>
      <sz val="18"/>
      <color theme="1"/>
      <name val="Browallia New"/>
      <family val="2"/>
    </font>
    <font>
      <b/>
      <sz val="16"/>
      <color theme="1"/>
      <name val="TH SarabunPSK"/>
      <family val="2"/>
    </font>
    <font>
      <sz val="14"/>
      <color rgb="FF00B0F0"/>
      <name val="Browallia New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Browallia New"/>
      <family val="2"/>
    </font>
    <font>
      <b/>
      <sz val="11"/>
      <color theme="1"/>
      <name val="Tahoma"/>
      <family val="2"/>
      <scheme val="minor"/>
    </font>
    <font>
      <sz val="16"/>
      <color indexed="8"/>
      <name val="Browallia New"/>
      <family val="2"/>
    </font>
    <font>
      <u/>
      <sz val="14"/>
      <name val="Browallia New"/>
      <family val="2"/>
    </font>
    <font>
      <sz val="14"/>
      <color rgb="FF00B050"/>
      <name val="Browallia New"/>
      <family val="2"/>
    </font>
    <font>
      <b/>
      <sz val="14"/>
      <color theme="0" tint="-0.34998626667073579"/>
      <name val="Browallia New"/>
      <family val="2"/>
    </font>
    <font>
      <sz val="10"/>
      <name val="Arial"/>
      <family val="2"/>
    </font>
    <font>
      <b/>
      <sz val="16"/>
      <color indexed="8"/>
      <name val="Browallia New"/>
      <family val="2"/>
    </font>
    <font>
      <sz val="16"/>
      <name val="Browallia New"/>
      <family val="2"/>
    </font>
    <font>
      <sz val="14"/>
      <color indexed="8"/>
      <name val="Browallia New"/>
      <family val="2"/>
    </font>
    <font>
      <b/>
      <sz val="16"/>
      <name val="Browallia New"/>
      <family val="2"/>
    </font>
    <font>
      <sz val="12"/>
      <color indexed="8"/>
      <name val="Browallia New"/>
      <family val="2"/>
    </font>
    <font>
      <b/>
      <sz val="14"/>
      <color indexed="8"/>
      <name val="Browallia New"/>
      <family val="2"/>
    </font>
    <font>
      <sz val="11"/>
      <name val="Tahoma"/>
      <family val="2"/>
      <charset val="222"/>
      <scheme val="minor"/>
    </font>
    <font>
      <sz val="11"/>
      <color theme="1"/>
      <name val="Calibri"/>
      <family val="2"/>
    </font>
    <font>
      <sz val="11"/>
      <color theme="6" tint="-0.249977111117893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9" fillId="0" borderId="0">
      <alignment wrapText="1"/>
    </xf>
    <xf numFmtId="0" fontId="29" fillId="0" borderId="0">
      <alignment wrapText="1"/>
    </xf>
  </cellStyleXfs>
  <cellXfs count="392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12" xfId="0" applyFont="1" applyFill="1" applyBorder="1" applyAlignment="1" applyProtection="1">
      <alignment horizontal="right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8" xfId="0" applyFont="1" applyBorder="1" applyAlignment="1" applyProtection="1">
      <alignment horizontal="left" vertical="top" wrapText="1"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87" fontId="5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4" fontId="5" fillId="0" borderId="1" xfId="0" applyNumberFormat="1" applyFont="1" applyBorder="1" applyAlignment="1" applyProtection="1">
      <alignment horizontal="center" vertical="top" wrapText="1"/>
      <protection hidden="1"/>
    </xf>
    <xf numFmtId="2" fontId="5" fillId="0" borderId="1" xfId="0" applyNumberFormat="1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top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0" fontId="5" fillId="0" borderId="7" xfId="0" applyFont="1" applyFill="1" applyBorder="1" applyAlignment="1" applyProtection="1">
      <alignment horizontal="left" vertical="top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20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vertical="top"/>
      <protection hidden="1"/>
    </xf>
    <xf numFmtId="0" fontId="5" fillId="0" borderId="3" xfId="0" applyFont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vertical="top"/>
      <protection hidden="1"/>
    </xf>
    <xf numFmtId="0" fontId="5" fillId="0" borderId="8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188" fontId="5" fillId="0" borderId="8" xfId="0" applyNumberFormat="1" applyFont="1" applyFill="1" applyBorder="1" applyAlignment="1" applyProtection="1">
      <alignment horizontal="center"/>
      <protection hidden="1"/>
    </xf>
    <xf numFmtId="187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188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0" borderId="11" xfId="0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187" fontId="5" fillId="0" borderId="11" xfId="0" applyNumberFormat="1" applyFont="1" applyFill="1" applyBorder="1" applyAlignment="1" applyProtection="1">
      <alignment horizontal="center" vertical="center"/>
      <protection hidden="1"/>
    </xf>
    <xf numFmtId="187" fontId="5" fillId="0" borderId="7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top"/>
      <protection locked="0"/>
    </xf>
    <xf numFmtId="1" fontId="5" fillId="0" borderId="7" xfId="0" applyNumberFormat="1" applyFont="1" applyFill="1" applyBorder="1" applyAlignment="1" applyProtection="1">
      <alignment horizontal="center" vertical="top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9" borderId="2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3" fillId="0" borderId="0" xfId="1" applyProtection="1">
      <protection locked="0" hidden="1"/>
    </xf>
    <xf numFmtId="0" fontId="4" fillId="6" borderId="22" xfId="0" applyFont="1" applyFill="1" applyBorder="1" applyProtection="1">
      <protection hidden="1"/>
    </xf>
    <xf numFmtId="0" fontId="5" fillId="6" borderId="23" xfId="0" applyFont="1" applyFill="1" applyBorder="1" applyProtection="1">
      <protection hidden="1"/>
    </xf>
    <xf numFmtId="0" fontId="5" fillId="6" borderId="24" xfId="0" applyFont="1" applyFill="1" applyBorder="1" applyProtection="1">
      <protection hidden="1"/>
    </xf>
    <xf numFmtId="0" fontId="4" fillId="6" borderId="25" xfId="0" applyFont="1" applyFill="1" applyBorder="1" applyProtection="1">
      <protection hidden="1"/>
    </xf>
    <xf numFmtId="0" fontId="5" fillId="6" borderId="26" xfId="0" applyFont="1" applyFill="1" applyBorder="1" applyProtection="1">
      <protection hidden="1"/>
    </xf>
    <xf numFmtId="0" fontId="5" fillId="6" borderId="27" xfId="0" applyFont="1" applyFill="1" applyBorder="1" applyProtection="1">
      <protection hidden="1"/>
    </xf>
    <xf numFmtId="0" fontId="5" fillId="0" borderId="0" xfId="0" applyFont="1" applyProtection="1">
      <protection locked="0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190" fontId="5" fillId="0" borderId="8" xfId="0" applyNumberFormat="1" applyFont="1" applyBorder="1" applyAlignment="1" applyProtection="1">
      <alignment horizontal="center" vertical="center"/>
      <protection locked="0"/>
    </xf>
    <xf numFmtId="190" fontId="5" fillId="0" borderId="7" xfId="0" applyNumberFormat="1" applyFont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locked="0"/>
    </xf>
    <xf numFmtId="0" fontId="2" fillId="1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5" fillId="0" borderId="33" xfId="0" applyFont="1" applyBorder="1" applyAlignment="1" applyProtection="1">
      <alignment horizontal="left" vertical="top" wrapText="1"/>
      <protection hidden="1"/>
    </xf>
    <xf numFmtId="1" fontId="5" fillId="0" borderId="33" xfId="0" applyNumberFormat="1" applyFont="1" applyFill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5" fillId="11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right" vertical="top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left" vertical="top" wrapText="1"/>
      <protection hidden="1"/>
    </xf>
    <xf numFmtId="187" fontId="5" fillId="0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left" vertical="top" wrapText="1"/>
      <protection hidden="1"/>
    </xf>
    <xf numFmtId="3" fontId="5" fillId="0" borderId="36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top"/>
      <protection hidden="1"/>
    </xf>
    <xf numFmtId="188" fontId="5" fillId="0" borderId="33" xfId="0" applyNumberFormat="1" applyFont="1" applyFill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top"/>
      <protection hidden="1"/>
    </xf>
    <xf numFmtId="1" fontId="5" fillId="0" borderId="36" xfId="0" applyNumberFormat="1" applyFont="1" applyFill="1" applyBorder="1" applyAlignment="1" applyProtection="1">
      <alignment horizontal="center" vertical="top"/>
      <protection locked="0"/>
    </xf>
    <xf numFmtId="2" fontId="5" fillId="0" borderId="35" xfId="0" applyNumberFormat="1" applyFont="1" applyFill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top" wrapText="1"/>
      <protection hidden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top"/>
      <protection hidden="1"/>
    </xf>
    <xf numFmtId="1" fontId="5" fillId="0" borderId="35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3" borderId="14" xfId="0" applyFont="1" applyFill="1" applyBorder="1" applyAlignment="1" applyProtection="1">
      <alignment horizontal="center" vertical="top"/>
      <protection hidden="1"/>
    </xf>
    <xf numFmtId="0" fontId="3" fillId="3" borderId="15" xfId="0" applyFont="1" applyFill="1" applyBorder="1" applyAlignment="1" applyProtection="1">
      <alignment horizontal="center" vertical="top"/>
      <protection hidden="1"/>
    </xf>
    <xf numFmtId="0" fontId="3" fillId="3" borderId="16" xfId="0" applyFont="1" applyFill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vertical="top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vertical="top"/>
      <protection hidden="1"/>
    </xf>
    <xf numFmtId="0" fontId="5" fillId="0" borderId="45" xfId="0" applyFont="1" applyBorder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top"/>
      <protection hidden="1"/>
    </xf>
    <xf numFmtId="0" fontId="5" fillId="9" borderId="47" xfId="0" applyFont="1" applyFill="1" applyBorder="1" applyAlignment="1" applyProtection="1">
      <alignment horizontal="left" vertical="top" wrapText="1"/>
      <protection hidden="1"/>
    </xf>
    <xf numFmtId="0" fontId="5" fillId="9" borderId="48" xfId="0" applyFont="1" applyFill="1" applyBorder="1" applyAlignment="1" applyProtection="1">
      <alignment horizontal="left" vertical="top" wrapText="1"/>
      <protection hidden="1"/>
    </xf>
    <xf numFmtId="0" fontId="5" fillId="0" borderId="31" xfId="0" applyFont="1" applyBorder="1" applyAlignment="1" applyProtection="1">
      <alignment horizontal="left" vertical="top" wrapText="1"/>
      <protection locked="0"/>
    </xf>
    <xf numFmtId="187" fontId="15" fillId="0" borderId="32" xfId="0" applyNumberFormat="1" applyFont="1" applyBorder="1" applyAlignment="1" applyProtection="1">
      <alignment horizontal="center" vertical="center" wrapText="1"/>
      <protection hidden="1"/>
    </xf>
    <xf numFmtId="189" fontId="15" fillId="0" borderId="18" xfId="0" applyNumberFormat="1" applyFont="1" applyBorder="1" applyAlignment="1" applyProtection="1">
      <alignment horizontal="center" vertical="center" wrapText="1"/>
      <protection hidden="1"/>
    </xf>
    <xf numFmtId="190" fontId="5" fillId="0" borderId="1" xfId="0" applyNumberFormat="1" applyFont="1" applyBorder="1" applyAlignment="1" applyProtection="1">
      <alignment horizontal="center" vertical="center"/>
      <protection locked="0"/>
    </xf>
    <xf numFmtId="188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11" borderId="31" xfId="0" applyNumberFormat="1" applyFont="1" applyFill="1" applyBorder="1" applyAlignment="1" applyProtection="1">
      <alignment horizontal="center" vertical="top" wrapText="1"/>
      <protection locked="0"/>
    </xf>
    <xf numFmtId="2" fontId="5" fillId="0" borderId="31" xfId="0" applyNumberFormat="1" applyFont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right" vertical="top"/>
      <protection hidden="1"/>
    </xf>
    <xf numFmtId="0" fontId="0" fillId="0" borderId="0" xfId="0" applyBorder="1" applyAlignment="1">
      <alignment vertical="top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protection hidden="1"/>
    </xf>
    <xf numFmtId="49" fontId="2" fillId="0" borderId="0" xfId="0" applyNumberFormat="1" applyFont="1" applyBorder="1" applyAlignment="1" applyProtection="1">
      <alignment horizontal="right" vertical="top"/>
      <protection hidden="1"/>
    </xf>
    <xf numFmtId="49" fontId="2" fillId="0" borderId="9" xfId="0" applyNumberFormat="1" applyFont="1" applyBorder="1" applyAlignment="1" applyProtection="1">
      <alignment horizontal="right" vertical="top"/>
      <protection hidden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/>
    <xf numFmtId="0" fontId="2" fillId="3" borderId="8" xfId="0" applyFont="1" applyFill="1" applyBorder="1" applyAlignment="1" applyProtection="1">
      <alignment horizontal="right" indent="1"/>
      <protection hidden="1"/>
    </xf>
    <xf numFmtId="0" fontId="2" fillId="3" borderId="7" xfId="0" applyFont="1" applyFill="1" applyBorder="1" applyAlignment="1" applyProtection="1">
      <alignment horizontal="right" indent="1"/>
      <protection hidden="1"/>
    </xf>
    <xf numFmtId="0" fontId="2" fillId="3" borderId="11" xfId="0" applyFont="1" applyFill="1" applyBorder="1" applyAlignment="1" applyProtection="1">
      <alignment horizontal="right" indent="1"/>
      <protection hidden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2" fontId="4" fillId="11" borderId="12" xfId="0" applyNumberFormat="1" applyFont="1" applyFill="1" applyBorder="1" applyAlignment="1" applyProtection="1">
      <alignment horizontal="center" vertical="center"/>
      <protection hidden="1"/>
    </xf>
    <xf numFmtId="2" fontId="4" fillId="11" borderId="4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4" fillId="3" borderId="56" xfId="0" applyFont="1" applyFill="1" applyBorder="1" applyAlignment="1" applyProtection="1">
      <alignment horizontal="center" vertical="top"/>
      <protection hidden="1"/>
    </xf>
    <xf numFmtId="0" fontId="4" fillId="3" borderId="58" xfId="0" applyFont="1" applyFill="1" applyBorder="1" applyAlignment="1" applyProtection="1">
      <alignment horizontal="center" vertical="top"/>
      <protection hidden="1"/>
    </xf>
    <xf numFmtId="0" fontId="4" fillId="3" borderId="59" xfId="0" applyFont="1" applyFill="1" applyBorder="1" applyAlignment="1" applyProtection="1">
      <alignment horizontal="center" vertical="top"/>
      <protection hidden="1"/>
    </xf>
    <xf numFmtId="0" fontId="4" fillId="3" borderId="57" xfId="0" applyFont="1" applyFill="1" applyBorder="1" applyAlignment="1" applyProtection="1">
      <alignment horizontal="center" vertical="top"/>
      <protection hidden="1"/>
    </xf>
    <xf numFmtId="0" fontId="4" fillId="3" borderId="60" xfId="0" applyFont="1" applyFill="1" applyBorder="1" applyAlignment="1" applyProtection="1">
      <alignment horizontal="center" vertical="top"/>
      <protection hidden="1"/>
    </xf>
    <xf numFmtId="0" fontId="4" fillId="3" borderId="61" xfId="0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Protection="1">
      <protection hidden="1"/>
    </xf>
    <xf numFmtId="0" fontId="25" fillId="0" borderId="7" xfId="0" applyFont="1" applyBorder="1" applyAlignment="1" applyProtection="1">
      <alignment horizontal="left" vertical="center" wrapText="1" indent="1"/>
      <protection locked="0"/>
    </xf>
    <xf numFmtId="0" fontId="25" fillId="0" borderId="8" xfId="0" applyFont="1" applyFill="1" applyBorder="1" applyAlignment="1" applyProtection="1">
      <alignment horizontal="left" vertical="center" indent="1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left" vertical="center" wrapText="1" indent="1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17" fillId="0" borderId="33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Border="1" applyAlignment="1" applyProtection="1">
      <alignment horizontal="left" vertical="top" wrapText="1"/>
      <protection hidden="1"/>
    </xf>
    <xf numFmtId="0" fontId="17" fillId="0" borderId="35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left" vertical="top" wrapText="1"/>
      <protection hidden="1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189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Protection="1">
      <protection hidden="1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13" borderId="17" xfId="0" applyFont="1" applyFill="1" applyBorder="1" applyAlignment="1" applyProtection="1">
      <alignment horizontal="center" vertical="top"/>
      <protection hidden="1"/>
    </xf>
    <xf numFmtId="0" fontId="5" fillId="13" borderId="1" xfId="0" applyFont="1" applyFill="1" applyBorder="1" applyAlignment="1" applyProtection="1">
      <alignment horizontal="left" vertical="top" wrapText="1"/>
      <protection hidden="1"/>
    </xf>
    <xf numFmtId="0" fontId="28" fillId="12" borderId="18" xfId="0" applyFont="1" applyFill="1" applyBorder="1" applyAlignment="1" applyProtection="1">
      <alignment horizontal="center" vertical="center" wrapText="1"/>
      <protection hidden="1"/>
    </xf>
    <xf numFmtId="0" fontId="30" fillId="10" borderId="72" xfId="2" applyFont="1" applyFill="1" applyBorder="1" applyAlignment="1" applyProtection="1">
      <alignment horizontal="center" vertical="top" wrapText="1"/>
      <protection hidden="1"/>
    </xf>
    <xf numFmtId="192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92" fontId="25" fillId="9" borderId="72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70" xfId="2" applyFont="1" applyFill="1" applyBorder="1" applyAlignment="1" applyProtection="1">
      <alignment horizontal="center" vertical="center" wrapText="1"/>
      <protection hidden="1"/>
    </xf>
    <xf numFmtId="0" fontId="30" fillId="11" borderId="72" xfId="2" applyFont="1" applyFill="1" applyBorder="1" applyAlignment="1" applyProtection="1">
      <alignment horizontal="center" vertical="top" wrapText="1"/>
      <protection hidden="1"/>
    </xf>
    <xf numFmtId="0" fontId="32" fillId="11" borderId="1" xfId="2" applyFont="1" applyFill="1" applyBorder="1" applyAlignment="1" applyProtection="1">
      <alignment horizontal="center" vertical="top" wrapText="1"/>
      <protection hidden="1"/>
    </xf>
    <xf numFmtId="192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93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91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91" fontId="25" fillId="10" borderId="68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0" xfId="2" applyFont="1" applyFill="1" applyBorder="1" applyAlignment="1" applyProtection="1">
      <alignment vertical="center"/>
      <protection hidden="1"/>
    </xf>
    <xf numFmtId="0" fontId="31" fillId="11" borderId="0" xfId="2" applyFont="1" applyFill="1" applyAlignment="1" applyProtection="1">
      <alignment vertical="center" wrapText="1"/>
      <protection hidden="1"/>
    </xf>
    <xf numFmtId="0" fontId="25" fillId="11" borderId="0" xfId="2" applyFont="1" applyFill="1" applyAlignment="1" applyProtection="1">
      <alignment vertical="center" wrapText="1"/>
      <protection hidden="1"/>
    </xf>
    <xf numFmtId="0" fontId="30" fillId="11" borderId="0" xfId="2" applyFont="1" applyFill="1" applyAlignment="1" applyProtection="1">
      <alignment horizontal="right" vertical="center" wrapText="1"/>
      <protection hidden="1"/>
    </xf>
    <xf numFmtId="0" fontId="30" fillId="11" borderId="0" xfId="2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4" fillId="11" borderId="72" xfId="2" applyFont="1" applyFill="1" applyBorder="1" applyAlignment="1" applyProtection="1">
      <alignment vertical="top" wrapText="1"/>
      <protection hidden="1"/>
    </xf>
    <xf numFmtId="0" fontId="25" fillId="11" borderId="70" xfId="2" applyFont="1" applyFill="1" applyBorder="1" applyAlignment="1" applyProtection="1">
      <alignment vertical="top" wrapText="1"/>
      <protection hidden="1"/>
    </xf>
    <xf numFmtId="0" fontId="25" fillId="11" borderId="75" xfId="2" applyFont="1" applyFill="1" applyBorder="1" applyAlignment="1" applyProtection="1">
      <alignment vertical="top" wrapText="1"/>
      <protection hidden="1"/>
    </xf>
    <xf numFmtId="0" fontId="25" fillId="11" borderId="79" xfId="2" applyFont="1" applyFill="1" applyBorder="1" applyAlignment="1" applyProtection="1">
      <alignment vertical="top" wrapText="1"/>
      <protection hidden="1"/>
    </xf>
    <xf numFmtId="0" fontId="25" fillId="11" borderId="1" xfId="2" applyFont="1" applyFill="1" applyBorder="1" applyAlignment="1" applyProtection="1">
      <alignment vertical="top" wrapText="1"/>
      <protection hidden="1"/>
    </xf>
    <xf numFmtId="0" fontId="4" fillId="2" borderId="3" xfId="0" applyFont="1" applyFill="1" applyBorder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left" vertical="top"/>
      <protection hidden="1"/>
    </xf>
    <xf numFmtId="0" fontId="35" fillId="11" borderId="1" xfId="2" applyFont="1" applyFill="1" applyBorder="1" applyAlignment="1" applyProtection="1">
      <alignment horizontal="center" vertical="top" wrapText="1"/>
      <protection hidden="1"/>
    </xf>
    <xf numFmtId="2" fontId="36" fillId="0" borderId="0" xfId="0" applyNumberFormat="1" applyFont="1" applyProtection="1">
      <protection hidden="1"/>
    </xf>
    <xf numFmtId="2" fontId="36" fillId="5" borderId="0" xfId="0" applyNumberFormat="1" applyFont="1" applyFill="1" applyProtection="1">
      <protection hidden="1"/>
    </xf>
    <xf numFmtId="2" fontId="36" fillId="0" borderId="0" xfId="0" applyNumberFormat="1" applyFont="1" applyAlignment="1" applyProtection="1">
      <alignment horizontal="center" vertical="center"/>
      <protection hidden="1"/>
    </xf>
    <xf numFmtId="2" fontId="36" fillId="0" borderId="0" xfId="0" applyNumberFormat="1" applyFont="1" applyAlignment="1" applyProtection="1">
      <alignment horizontal="left" vertical="top"/>
      <protection hidden="1"/>
    </xf>
    <xf numFmtId="2" fontId="36" fillId="11" borderId="0" xfId="0" applyNumberFormat="1" applyFont="1" applyFill="1" applyProtection="1">
      <protection hidden="1"/>
    </xf>
    <xf numFmtId="2" fontId="36" fillId="13" borderId="0" xfId="0" applyNumberFormat="1" applyFont="1" applyFill="1" applyAlignment="1" applyProtection="1">
      <alignment horizontal="left" vertical="center"/>
      <protection hidden="1"/>
    </xf>
    <xf numFmtId="2" fontId="36" fillId="13" borderId="0" xfId="0" applyNumberFormat="1" applyFont="1" applyFill="1" applyProtection="1">
      <protection hidden="1"/>
    </xf>
    <xf numFmtId="0" fontId="4" fillId="0" borderId="9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2" fontId="36" fillId="0" borderId="0" xfId="0" applyNumberFormat="1" applyFont="1" applyAlignment="1" applyProtection="1">
      <protection hidden="1"/>
    </xf>
    <xf numFmtId="0" fontId="37" fillId="0" borderId="0" xfId="0" applyFont="1"/>
    <xf numFmtId="2" fontId="38" fillId="0" borderId="0" xfId="0" applyNumberFormat="1" applyFont="1" applyProtection="1">
      <protection hidden="1"/>
    </xf>
    <xf numFmtId="2" fontId="38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80" xfId="0" applyFont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left" vertical="top" indent="1"/>
      <protection locked="0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2" fillId="12" borderId="9" xfId="0" applyFont="1" applyFill="1" applyBorder="1" applyAlignment="1" applyProtection="1">
      <alignment horizontal="left" vertical="center" wrapText="1" indent="1"/>
      <protection locked="0"/>
    </xf>
    <xf numFmtId="0" fontId="2" fillId="12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81" xfId="0" applyFont="1" applyBorder="1" applyAlignment="1" applyProtection="1">
      <alignment horizont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right" vertical="top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10" borderId="52" xfId="0" applyFont="1" applyFill="1" applyBorder="1" applyAlignment="1" applyProtection="1">
      <alignment horizontal="center" vertical="center"/>
      <protection hidden="1"/>
    </xf>
    <xf numFmtId="0" fontId="2" fillId="10" borderId="53" xfId="0" applyFont="1" applyFill="1" applyBorder="1" applyAlignment="1" applyProtection="1">
      <alignment horizontal="center" vertical="center"/>
      <protection hidden="1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top"/>
      <protection hidden="1"/>
    </xf>
    <xf numFmtId="0" fontId="3" fillId="4" borderId="28" xfId="0" applyFont="1" applyFill="1" applyBorder="1" applyAlignment="1" applyProtection="1">
      <alignment horizontal="center" vertical="top"/>
      <protection hidden="1"/>
    </xf>
    <xf numFmtId="0" fontId="3" fillId="12" borderId="10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4" fillId="2" borderId="3" xfId="0" applyFont="1" applyFill="1" applyBorder="1" applyAlignment="1" applyProtection="1">
      <alignment horizontal="left" vertical="top" wrapText="1"/>
      <protection hidden="1"/>
    </xf>
    <xf numFmtId="0" fontId="4" fillId="6" borderId="34" xfId="0" applyFont="1" applyFill="1" applyBorder="1" applyAlignment="1" applyProtection="1">
      <alignment horizontal="left" vertical="top"/>
      <protection hidden="1"/>
    </xf>
    <xf numFmtId="0" fontId="4" fillId="6" borderId="0" xfId="0" applyFont="1" applyFill="1" applyBorder="1" applyAlignment="1" applyProtection="1">
      <alignment horizontal="left" vertical="top"/>
      <protection hidden="1"/>
    </xf>
    <xf numFmtId="0" fontId="4" fillId="6" borderId="38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/>
      <protection hidden="1"/>
    </xf>
    <xf numFmtId="0" fontId="4" fillId="6" borderId="5" xfId="0" applyFont="1" applyFill="1" applyBorder="1" applyAlignment="1" applyProtection="1">
      <alignment horizontal="left" vertical="top"/>
      <protection hidden="1"/>
    </xf>
    <xf numFmtId="0" fontId="4" fillId="6" borderId="3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 wrapText="1"/>
      <protection hidden="1"/>
    </xf>
    <xf numFmtId="0" fontId="4" fillId="6" borderId="5" xfId="0" applyFont="1" applyFill="1" applyBorder="1" applyAlignment="1" applyProtection="1">
      <alignment horizontal="left" vertical="top" wrapText="1"/>
      <protection hidden="1"/>
    </xf>
    <xf numFmtId="0" fontId="4" fillId="6" borderId="3" xfId="0" applyFont="1" applyFill="1" applyBorder="1" applyAlignment="1" applyProtection="1">
      <alignment horizontal="left" vertical="top" wrapText="1"/>
      <protection hidden="1"/>
    </xf>
    <xf numFmtId="0" fontId="4" fillId="6" borderId="29" xfId="0" applyFont="1" applyFill="1" applyBorder="1" applyAlignment="1" applyProtection="1">
      <alignment horizontal="left" vertical="top" wrapText="1"/>
      <protection hidden="1"/>
    </xf>
    <xf numFmtId="0" fontId="4" fillId="6" borderId="6" xfId="0" applyFont="1" applyFill="1" applyBorder="1" applyAlignment="1" applyProtection="1">
      <alignment horizontal="left" vertical="top" wrapText="1"/>
      <protection hidden="1"/>
    </xf>
    <xf numFmtId="0" fontId="4" fillId="6" borderId="28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left" vertical="top"/>
      <protection hidden="1"/>
    </xf>
    <xf numFmtId="0" fontId="4" fillId="2" borderId="5" xfId="0" applyFont="1" applyFill="1" applyBorder="1" applyAlignment="1" applyProtection="1">
      <alignment horizontal="left" vertical="top"/>
      <protection hidden="1"/>
    </xf>
    <xf numFmtId="0" fontId="4" fillId="2" borderId="3" xfId="0" applyFont="1" applyFill="1" applyBorder="1" applyAlignment="1" applyProtection="1">
      <alignment horizontal="left" vertical="top"/>
      <protection hidden="1"/>
    </xf>
    <xf numFmtId="0" fontId="4" fillId="2" borderId="6" xfId="0" applyFont="1" applyFill="1" applyBorder="1" applyAlignment="1" applyProtection="1">
      <alignment horizontal="left" vertical="top" wrapText="1"/>
      <protection hidden="1"/>
    </xf>
    <xf numFmtId="0" fontId="4" fillId="2" borderId="28" xfId="0" applyFont="1" applyFill="1" applyBorder="1" applyAlignment="1" applyProtection="1">
      <alignment horizontal="left" vertical="top" wrapText="1"/>
      <protection hidden="1"/>
    </xf>
    <xf numFmtId="0" fontId="5" fillId="3" borderId="17" xfId="0" applyFont="1" applyFill="1" applyBorder="1" applyAlignment="1" applyProtection="1">
      <alignment horizontal="right" vertical="center" wrapText="1"/>
      <protection hidden="1"/>
    </xf>
    <xf numFmtId="0" fontId="5" fillId="3" borderId="1" xfId="0" applyFont="1" applyFill="1" applyBorder="1" applyAlignment="1" applyProtection="1">
      <alignment horizontal="right" vertical="center" wrapText="1"/>
      <protection hidden="1"/>
    </xf>
    <xf numFmtId="189" fontId="15" fillId="0" borderId="18" xfId="0" applyNumberFormat="1" applyFont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0" fontId="5" fillId="3" borderId="49" xfId="0" applyFont="1" applyFill="1" applyBorder="1" applyAlignment="1" applyProtection="1">
      <alignment horizontal="right" vertical="center"/>
      <protection hidden="1"/>
    </xf>
    <xf numFmtId="0" fontId="5" fillId="3" borderId="41" xfId="0" applyFont="1" applyFill="1" applyBorder="1" applyAlignment="1" applyProtection="1">
      <alignment horizontal="right" vertical="center"/>
      <protection hidden="1"/>
    </xf>
    <xf numFmtId="0" fontId="19" fillId="0" borderId="9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horizontal="left" vertical="top" wrapText="1"/>
      <protection hidden="1"/>
    </xf>
    <xf numFmtId="0" fontId="4" fillId="4" borderId="14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left" vertical="top" wrapText="1"/>
      <protection hidden="1"/>
    </xf>
    <xf numFmtId="0" fontId="4" fillId="4" borderId="17" xfId="0" applyFont="1" applyFill="1" applyBorder="1" applyAlignment="1" applyProtection="1">
      <alignment horizontal="left" vertical="top" wrapText="1"/>
      <protection hidden="1"/>
    </xf>
    <xf numFmtId="0" fontId="4" fillId="4" borderId="1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3" borderId="20" xfId="0" applyFont="1" applyFill="1" applyBorder="1" applyAlignment="1" applyProtection="1">
      <alignment horizontal="center" vertical="top"/>
      <protection hidden="1"/>
    </xf>
    <xf numFmtId="0" fontId="4" fillId="3" borderId="4" xfId="0" applyFont="1" applyFill="1" applyBorder="1" applyAlignment="1" applyProtection="1">
      <alignment horizontal="center" vertical="top"/>
      <protection hidden="1"/>
    </xf>
    <xf numFmtId="0" fontId="5" fillId="0" borderId="30" xfId="0" applyFont="1" applyBorder="1" applyAlignment="1" applyProtection="1">
      <alignment horizontal="center" vertical="top"/>
      <protection hidden="1"/>
    </xf>
    <xf numFmtId="0" fontId="5" fillId="0" borderId="31" xfId="0" applyFont="1" applyBorder="1" applyAlignment="1" applyProtection="1">
      <alignment horizontal="center" vertical="top"/>
      <protection hidden="1"/>
    </xf>
    <xf numFmtId="0" fontId="5" fillId="2" borderId="66" xfId="0" applyFont="1" applyFill="1" applyBorder="1" applyAlignment="1" applyProtection="1">
      <alignment horizontal="left" vertical="top" wrapText="1"/>
      <protection hidden="1"/>
    </xf>
    <xf numFmtId="0" fontId="5" fillId="2" borderId="6" xfId="0" applyFont="1" applyFill="1" applyBorder="1" applyAlignment="1" applyProtection="1">
      <alignment horizontal="left" vertical="top" wrapText="1"/>
      <protection hidden="1"/>
    </xf>
    <xf numFmtId="0" fontId="5" fillId="2" borderId="5" xfId="0" applyFont="1" applyFill="1" applyBorder="1" applyAlignment="1" applyProtection="1">
      <alignment horizontal="left" vertical="top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65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/>
      <protection hidden="1"/>
    </xf>
    <xf numFmtId="0" fontId="18" fillId="0" borderId="40" xfId="0" applyFont="1" applyBorder="1" applyAlignment="1" applyProtection="1">
      <alignment horizontal="left" vertical="top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4" borderId="15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top" wrapText="1"/>
      <protection hidden="1"/>
    </xf>
    <xf numFmtId="0" fontId="4" fillId="4" borderId="15" xfId="0" applyFont="1" applyFill="1" applyBorder="1" applyAlignment="1" applyProtection="1">
      <alignment horizontal="center" vertical="top" wrapText="1"/>
      <protection hidden="1"/>
    </xf>
    <xf numFmtId="0" fontId="4" fillId="4" borderId="17" xfId="0" applyFont="1" applyFill="1" applyBorder="1" applyAlignment="1" applyProtection="1">
      <alignment horizontal="center" vertical="top" wrapText="1"/>
      <protection hidden="1"/>
    </xf>
    <xf numFmtId="0" fontId="4" fillId="4" borderId="1" xfId="0" applyFont="1" applyFill="1" applyBorder="1" applyAlignment="1" applyProtection="1">
      <alignment horizontal="center" vertical="top" wrapText="1"/>
      <protection hidden="1"/>
    </xf>
    <xf numFmtId="0" fontId="5" fillId="2" borderId="19" xfId="0" applyFont="1" applyFill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4" borderId="42" xfId="0" applyFont="1" applyFill="1" applyBorder="1" applyAlignment="1" applyProtection="1">
      <alignment horizontal="center" vertical="center" wrapText="1"/>
      <protection hidden="1"/>
    </xf>
    <xf numFmtId="0" fontId="5" fillId="4" borderId="43" xfId="0" applyFont="1" applyFill="1" applyBorder="1" applyAlignment="1" applyProtection="1">
      <alignment horizontal="center" vertical="center" wrapText="1"/>
      <protection hidden="1"/>
    </xf>
    <xf numFmtId="0" fontId="5" fillId="4" borderId="44" xfId="0" applyFont="1" applyFill="1" applyBorder="1" applyAlignment="1" applyProtection="1">
      <alignment horizontal="center" vertical="center" wrapText="1"/>
      <protection hidden="1"/>
    </xf>
    <xf numFmtId="0" fontId="24" fillId="0" borderId="62" xfId="0" applyFont="1" applyFill="1" applyBorder="1" applyAlignment="1" applyProtection="1">
      <alignment horizontal="center" vertical="center" wrapText="1"/>
      <protection hidden="1"/>
    </xf>
    <xf numFmtId="0" fontId="24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16" fillId="0" borderId="64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0" fillId="11" borderId="0" xfId="2" applyFont="1" applyFill="1" applyBorder="1" applyAlignment="1" applyProtection="1">
      <alignment horizontal="center" vertical="top" wrapText="1"/>
      <protection hidden="1"/>
    </xf>
    <xf numFmtId="0" fontId="25" fillId="11" borderId="1" xfId="2" applyFont="1" applyFill="1" applyBorder="1" applyAlignment="1" applyProtection="1">
      <alignment horizontal="center" vertical="top" wrapText="1"/>
      <protection hidden="1"/>
    </xf>
    <xf numFmtId="0" fontId="25" fillId="11" borderId="2" xfId="2" applyFont="1" applyFill="1" applyBorder="1" applyAlignment="1" applyProtection="1">
      <alignment horizontal="center" vertical="top" wrapText="1"/>
      <protection hidden="1"/>
    </xf>
    <xf numFmtId="2" fontId="31" fillId="11" borderId="68" xfId="2" applyNumberFormat="1" applyFont="1" applyFill="1" applyBorder="1" applyAlignment="1" applyProtection="1">
      <alignment horizontal="center" vertical="top" wrapText="1"/>
      <protection hidden="1"/>
    </xf>
    <xf numFmtId="2" fontId="31" fillId="11" borderId="69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67" xfId="2" applyFont="1" applyFill="1" applyBorder="1" applyAlignment="1" applyProtection="1">
      <alignment horizontal="center" vertical="center" wrapText="1"/>
      <protection hidden="1"/>
    </xf>
    <xf numFmtId="0" fontId="30" fillId="10" borderId="71" xfId="2" applyFont="1" applyFill="1" applyBorder="1" applyAlignment="1" applyProtection="1">
      <alignment horizontal="center" vertical="center" wrapText="1"/>
      <protection hidden="1"/>
    </xf>
    <xf numFmtId="0" fontId="30" fillId="11" borderId="9" xfId="2" applyFont="1" applyFill="1" applyBorder="1" applyAlignment="1" applyProtection="1">
      <alignment horizontal="center" vertical="top" wrapText="1"/>
      <protection hidden="1"/>
    </xf>
    <xf numFmtId="191" fontId="25" fillId="11" borderId="67" xfId="2" applyNumberFormat="1" applyFont="1" applyFill="1" applyBorder="1" applyAlignment="1" applyProtection="1">
      <alignment horizontal="center" vertical="center" textRotation="90" wrapText="1"/>
      <protection hidden="1"/>
    </xf>
    <xf numFmtId="191" fontId="25" fillId="11" borderId="73" xfId="2" applyNumberFormat="1" applyFont="1" applyFill="1" applyBorder="1" applyAlignment="1" applyProtection="1">
      <alignment horizontal="center" vertical="center" textRotation="90" wrapText="1"/>
      <protection hidden="1"/>
    </xf>
    <xf numFmtId="191" fontId="25" fillId="11" borderId="71" xfId="2" applyNumberFormat="1" applyFont="1" applyFill="1" applyBorder="1" applyAlignment="1" applyProtection="1">
      <alignment horizontal="center" vertical="center" textRotation="90" wrapText="1"/>
      <protection hidden="1"/>
    </xf>
    <xf numFmtId="192" fontId="25" fillId="11" borderId="74" xfId="2" applyNumberFormat="1" applyFont="1" applyFill="1" applyBorder="1" applyAlignment="1" applyProtection="1">
      <alignment horizontal="center" vertical="top" wrapText="1"/>
      <protection hidden="1"/>
    </xf>
    <xf numFmtId="192" fontId="25" fillId="11" borderId="77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68" xfId="2" applyFont="1" applyFill="1" applyBorder="1" applyAlignment="1" applyProtection="1">
      <alignment horizontal="center" vertical="top" wrapText="1"/>
      <protection hidden="1"/>
    </xf>
    <xf numFmtId="0" fontId="30" fillId="11" borderId="70" xfId="2" applyFont="1" applyFill="1" applyBorder="1" applyAlignment="1" applyProtection="1">
      <alignment horizontal="center" vertical="top" wrapText="1"/>
      <protection hidden="1"/>
    </xf>
    <xf numFmtId="0" fontId="32" fillId="9" borderId="2" xfId="2" applyFont="1" applyFill="1" applyBorder="1" applyAlignment="1" applyProtection="1">
      <alignment horizontal="center" vertical="top" wrapText="1"/>
      <protection hidden="1"/>
    </xf>
    <xf numFmtId="0" fontId="32" fillId="9" borderId="5" xfId="2" applyFont="1" applyFill="1" applyBorder="1" applyAlignment="1" applyProtection="1">
      <alignment horizontal="center" vertical="top" wrapText="1"/>
      <protection hidden="1"/>
    </xf>
    <xf numFmtId="0" fontId="32" fillId="9" borderId="3" xfId="2" applyFont="1" applyFill="1" applyBorder="1" applyAlignment="1" applyProtection="1">
      <alignment horizontal="center" vertical="top" wrapText="1"/>
      <protection hidden="1"/>
    </xf>
    <xf numFmtId="0" fontId="30" fillId="10" borderId="68" xfId="2" applyFont="1" applyFill="1" applyBorder="1" applyAlignment="1" applyProtection="1">
      <alignment horizontal="center" vertical="center" wrapText="1"/>
      <protection hidden="1"/>
    </xf>
    <xf numFmtId="0" fontId="30" fillId="10" borderId="70" xfId="2" applyFont="1" applyFill="1" applyBorder="1" applyAlignment="1" applyProtection="1">
      <alignment horizontal="center" vertical="center" wrapText="1"/>
      <protection hidden="1"/>
    </xf>
    <xf numFmtId="0" fontId="30" fillId="10" borderId="68" xfId="2" applyFont="1" applyFill="1" applyBorder="1" applyAlignment="1" applyProtection="1">
      <alignment horizontal="center" vertical="top" wrapText="1"/>
      <protection hidden="1"/>
    </xf>
    <xf numFmtId="0" fontId="30" fillId="10" borderId="69" xfId="2" applyFont="1" applyFill="1" applyBorder="1" applyAlignment="1" applyProtection="1">
      <alignment horizontal="center" vertical="top" wrapText="1"/>
      <protection hidden="1"/>
    </xf>
    <xf numFmtId="0" fontId="30" fillId="10" borderId="70" xfId="2" applyFont="1" applyFill="1" applyBorder="1" applyAlignment="1" applyProtection="1">
      <alignment horizontal="center" vertical="top" wrapText="1"/>
      <protection hidden="1"/>
    </xf>
    <xf numFmtId="0" fontId="34" fillId="11" borderId="76" xfId="3" applyFont="1" applyFill="1" applyBorder="1" applyAlignment="1" applyProtection="1">
      <alignment horizontal="left" vertical="top" wrapText="1"/>
      <protection hidden="1"/>
    </xf>
    <xf numFmtId="0" fontId="34" fillId="11" borderId="70" xfId="3" applyFont="1" applyFill="1" applyBorder="1" applyAlignment="1" applyProtection="1">
      <alignment horizontal="left" vertical="top" wrapText="1"/>
      <protection hidden="1"/>
    </xf>
    <xf numFmtId="191" fontId="25" fillId="11" borderId="74" xfId="2" applyNumberFormat="1" applyFont="1" applyFill="1" applyBorder="1" applyAlignment="1" applyProtection="1">
      <alignment horizontal="center" vertical="top" wrapText="1"/>
      <protection hidden="1"/>
    </xf>
    <xf numFmtId="191" fontId="25" fillId="11" borderId="77" xfId="2" applyNumberFormat="1" applyFont="1" applyFill="1" applyBorder="1" applyAlignment="1" applyProtection="1">
      <alignment horizontal="center" vertical="top" wrapText="1"/>
      <protection hidden="1"/>
    </xf>
    <xf numFmtId="191" fontId="25" fillId="11" borderId="75" xfId="2" applyNumberFormat="1" applyFont="1" applyFill="1" applyBorder="1" applyAlignment="1" applyProtection="1">
      <alignment horizontal="center" vertical="top" wrapText="1"/>
      <protection hidden="1"/>
    </xf>
    <xf numFmtId="192" fontId="33" fillId="11" borderId="73" xfId="2" applyNumberFormat="1" applyFont="1" applyFill="1" applyBorder="1" applyAlignment="1" applyProtection="1">
      <alignment horizontal="center" vertical="top" wrapText="1"/>
      <protection hidden="1"/>
    </xf>
    <xf numFmtId="192" fontId="33" fillId="11" borderId="78" xfId="2" applyNumberFormat="1" applyFont="1" applyFill="1" applyBorder="1" applyAlignment="1" applyProtection="1">
      <alignment horizontal="center" vertical="top" wrapText="1"/>
      <protection hidden="1"/>
    </xf>
    <xf numFmtId="0" fontId="39" fillId="0" borderId="0" xfId="0" applyFont="1" applyProtection="1">
      <protection hidden="1"/>
    </xf>
  </cellXfs>
  <cellStyles count="4">
    <cellStyle name="Hyperlink" xfId="1" builtinId="8"/>
    <cellStyle name="Normal" xfId="0" builtinId="0"/>
    <cellStyle name="Normal 2 3" xfId="3"/>
    <cellStyle name="Normal 4" xfId="2"/>
  </cellStyles>
  <dxfs count="19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DDDDDD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5</xdr:row>
      <xdr:rowOff>133350</xdr:rowOff>
    </xdr:from>
    <xdr:to>
      <xdr:col>6</xdr:col>
      <xdr:colOff>75717</xdr:colOff>
      <xdr:row>8</xdr:row>
      <xdr:rowOff>133254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695450"/>
          <a:ext cx="3866667" cy="77142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352425</xdr:colOff>
      <xdr:row>12</xdr:row>
      <xdr:rowOff>114300</xdr:rowOff>
    </xdr:from>
    <xdr:to>
      <xdr:col>2</xdr:col>
      <xdr:colOff>590349</xdr:colOff>
      <xdr:row>18</xdr:row>
      <xdr:rowOff>76012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3476625"/>
          <a:ext cx="1609524" cy="150476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523875</xdr:colOff>
      <xdr:row>5</xdr:row>
      <xdr:rowOff>219075</xdr:rowOff>
    </xdr:from>
    <xdr:to>
      <xdr:col>4</xdr:col>
      <xdr:colOff>485775</xdr:colOff>
      <xdr:row>7</xdr:row>
      <xdr:rowOff>85725</xdr:rowOff>
    </xdr:to>
    <xdr:sp macro="" textlink="">
      <xdr:nvSpPr>
        <xdr:cNvPr id="6" name="Line Callout 1 5"/>
        <xdr:cNvSpPr/>
      </xdr:nvSpPr>
      <xdr:spPr>
        <a:xfrm>
          <a:off x="1209675" y="1781175"/>
          <a:ext cx="2019300" cy="381000"/>
        </a:xfrm>
        <a:prstGeom prst="borderCallout1">
          <a:avLst>
            <a:gd name="adj1" fmla="val 23750"/>
            <a:gd name="adj2" fmla="val 100629"/>
            <a:gd name="adj3" fmla="val 87500"/>
            <a:gd name="adj4" fmla="val 136195"/>
          </a:avLst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ช่องที่สามารถ </a:t>
          </a:r>
          <a:r>
            <a:rPr lang="th-TH" sz="1100" b="1">
              <a:solidFill>
                <a:srgbClr val="00B050"/>
              </a:solidFill>
            </a:rPr>
            <a:t>เลือกตอบ </a:t>
          </a:r>
          <a:r>
            <a:rPr lang="th-TH" sz="1100">
              <a:solidFill>
                <a:sysClr val="windowText" lastClr="000000"/>
              </a:solidFill>
            </a:rPr>
            <a:t>ข้อมูลได้</a:t>
          </a:r>
        </a:p>
      </xdr:txBody>
    </xdr:sp>
    <xdr:clientData/>
  </xdr:twoCellAnchor>
  <xdr:twoCellAnchor>
    <xdr:from>
      <xdr:col>3</xdr:col>
      <xdr:colOff>419100</xdr:colOff>
      <xdr:row>15</xdr:row>
      <xdr:rowOff>180975</xdr:rowOff>
    </xdr:from>
    <xdr:to>
      <xdr:col>6</xdr:col>
      <xdr:colOff>381000</xdr:colOff>
      <xdr:row>17</xdr:row>
      <xdr:rowOff>47625</xdr:rowOff>
    </xdr:to>
    <xdr:sp macro="" textlink="">
      <xdr:nvSpPr>
        <xdr:cNvPr id="7" name="Line Callout 1 6"/>
        <xdr:cNvSpPr/>
      </xdr:nvSpPr>
      <xdr:spPr>
        <a:xfrm>
          <a:off x="2476500" y="4314825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th-TH" sz="1100" b="1">
              <a:solidFill>
                <a:srgbClr val="FF0000"/>
              </a:solidFill>
            </a:rPr>
            <a:t>ไม่สามารถ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  <xdr:twoCellAnchor>
    <xdr:from>
      <xdr:col>3</xdr:col>
      <xdr:colOff>419100</xdr:colOff>
      <xdr:row>13</xdr:row>
      <xdr:rowOff>47625</xdr:rowOff>
    </xdr:from>
    <xdr:to>
      <xdr:col>6</xdr:col>
      <xdr:colOff>381000</xdr:colOff>
      <xdr:row>14</xdr:row>
      <xdr:rowOff>171450</xdr:rowOff>
    </xdr:to>
    <xdr:sp macro="" textlink="">
      <xdr:nvSpPr>
        <xdr:cNvPr id="9" name="Line Callout 1 6"/>
        <xdr:cNvSpPr/>
      </xdr:nvSpPr>
      <xdr:spPr>
        <a:xfrm>
          <a:off x="2476500" y="3448050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en-US" sz="1100" b="1">
              <a:solidFill>
                <a:srgbClr val="FF0000"/>
              </a:solidFill>
            </a:rPr>
            <a:t>  </a:t>
          </a:r>
          <a:r>
            <a:rPr lang="th-TH" sz="1100" b="1">
              <a:solidFill>
                <a:srgbClr val="00B050"/>
              </a:solidFill>
            </a:rPr>
            <a:t>สามารถ</a:t>
          </a:r>
          <a:r>
            <a:rPr lang="th-TH" sz="1100" b="1">
              <a:solidFill>
                <a:srgbClr val="FF0000"/>
              </a:solidFill>
            </a:rPr>
            <a:t>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35</xdr:row>
      <xdr:rowOff>0</xdr:rowOff>
    </xdr:from>
    <xdr:to>
      <xdr:col>10</xdr:col>
      <xdr:colOff>6444</xdr:colOff>
      <xdr:row>40</xdr:row>
      <xdr:rowOff>55469</xdr:rowOff>
    </xdr:to>
    <xdr:sp macro="" textlink="">
      <xdr:nvSpPr>
        <xdr:cNvPr id="5" name="Rectangle 4"/>
        <xdr:cNvSpPr/>
      </xdr:nvSpPr>
      <xdr:spPr>
        <a:xfrm>
          <a:off x="6781800" y="11258550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4616824</xdr:colOff>
      <xdr:row>110</xdr:row>
      <xdr:rowOff>190500</xdr:rowOff>
    </xdr:from>
    <xdr:to>
      <xdr:col>4</xdr:col>
      <xdr:colOff>830637</xdr:colOff>
      <xdr:row>116</xdr:row>
      <xdr:rowOff>156882</xdr:rowOff>
    </xdr:to>
    <xdr:sp macro="" textlink="">
      <xdr:nvSpPr>
        <xdr:cNvPr id="3" name="Rectangle 2"/>
        <xdr:cNvSpPr/>
      </xdr:nvSpPr>
      <xdr:spPr>
        <a:xfrm>
          <a:off x="5065059" y="30267088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1501587</xdr:colOff>
      <xdr:row>36</xdr:row>
      <xdr:rowOff>168088</xdr:rowOff>
    </xdr:from>
    <xdr:to>
      <xdr:col>2</xdr:col>
      <xdr:colOff>1839165</xdr:colOff>
      <xdr:row>45</xdr:row>
      <xdr:rowOff>67235</xdr:rowOff>
    </xdr:to>
    <xdr:sp macro="" textlink="">
      <xdr:nvSpPr>
        <xdr:cNvPr id="2" name="Rectangle 1"/>
        <xdr:cNvSpPr/>
      </xdr:nvSpPr>
      <xdr:spPr>
        <a:xfrm>
          <a:off x="2185146" y="14186647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  <xdr:twoCellAnchor>
    <xdr:from>
      <xdr:col>0</xdr:col>
      <xdr:colOff>44824</xdr:colOff>
      <xdr:row>21</xdr:row>
      <xdr:rowOff>168087</xdr:rowOff>
    </xdr:from>
    <xdr:to>
      <xdr:col>2</xdr:col>
      <xdr:colOff>2106706</xdr:colOff>
      <xdr:row>28</xdr:row>
      <xdr:rowOff>134470</xdr:rowOff>
    </xdr:to>
    <xdr:sp macro="" textlink="">
      <xdr:nvSpPr>
        <xdr:cNvPr id="4" name="TextBox 3"/>
        <xdr:cNvSpPr txBox="1"/>
      </xdr:nvSpPr>
      <xdr:spPr>
        <a:xfrm>
          <a:off x="44824" y="11317940"/>
          <a:ext cx="6824382" cy="1400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1.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สำหรับหลักสูตรที่ดำเนินการตามกรอบมาตรฐานคุณวุฒิฯ เป็นปีแรกจะไม่มีการประเมินตาม เกณฑ์ตัวบ่งชี้ที่ (7)  เกณฑ์ตัวบ่งชี้ที่  (11) และ 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2.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หลักสูตรที่ดำเนินการตามกรอบมาตรฐานคุณวุฒิฯ มาแล้วเกิน 1 ปี แต่ยังไม่มีนิสิตชั้นปีสุดท้าย</a:t>
          </a:r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จะไม่มีการประเมินตามเกณฑ์ตัวบ่งชี้ที่ (11) และเกณฑ์ตัวบ่งชี้ที่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3.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หลักสูตรที่ดำเนินตามกรอบมาตรฐานคุณวุฒิฯ ที่ยังไม่มีบัณฑิตที่สำเร็จการศึกษาจะไม่มีการประเมินตามเกณฑ์ตัวบ่งชี้ที่ (12)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1019736</xdr:colOff>
      <xdr:row>24</xdr:row>
      <xdr:rowOff>201706</xdr:rowOff>
    </xdr:from>
    <xdr:to>
      <xdr:col>4</xdr:col>
      <xdr:colOff>0</xdr:colOff>
      <xdr:row>31</xdr:row>
      <xdr:rowOff>67235</xdr:rowOff>
    </xdr:to>
    <xdr:sp macro="" textlink="">
      <xdr:nvSpPr>
        <xdr:cNvPr id="3" name="Rectangle 2"/>
        <xdr:cNvSpPr/>
      </xdr:nvSpPr>
      <xdr:spPr>
        <a:xfrm>
          <a:off x="6902824" y="16383000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773205</xdr:colOff>
      <xdr:row>51</xdr:row>
      <xdr:rowOff>134470</xdr:rowOff>
    </xdr:from>
    <xdr:to>
      <xdr:col>7</xdr:col>
      <xdr:colOff>0</xdr:colOff>
      <xdr:row>57</xdr:row>
      <xdr:rowOff>235323</xdr:rowOff>
    </xdr:to>
    <xdr:sp macro="" textlink="">
      <xdr:nvSpPr>
        <xdr:cNvPr id="3" name="Rectangle 2"/>
        <xdr:cNvSpPr/>
      </xdr:nvSpPr>
      <xdr:spPr>
        <a:xfrm>
          <a:off x="8135470" y="21268764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="85" zoomScaleNormal="85" zoomScaleSheetLayoutView="145" workbookViewId="0">
      <selection activeCell="O16" sqref="O16"/>
    </sheetView>
  </sheetViews>
  <sheetFormatPr defaultColWidth="9" defaultRowHeight="20.25" x14ac:dyDescent="0.4"/>
  <cols>
    <col min="1" max="16384" width="9" style="10"/>
  </cols>
  <sheetData>
    <row r="1" spans="1:8" ht="21.75" thickTop="1" x14ac:dyDescent="0.45">
      <c r="A1" s="77" t="s">
        <v>158</v>
      </c>
      <c r="B1" s="78"/>
      <c r="C1" s="78"/>
      <c r="D1" s="78"/>
      <c r="E1" s="78"/>
      <c r="F1" s="78"/>
      <c r="G1" s="78"/>
      <c r="H1" s="79"/>
    </row>
    <row r="2" spans="1:8" ht="21.75" thickBot="1" x14ac:dyDescent="0.5">
      <c r="A2" s="80" t="s">
        <v>155</v>
      </c>
      <c r="B2" s="81"/>
      <c r="C2" s="81"/>
      <c r="D2" s="81"/>
      <c r="E2" s="81"/>
      <c r="F2" s="81"/>
      <c r="G2" s="81"/>
      <c r="H2" s="82"/>
    </row>
    <row r="3" spans="1:8" ht="24" thickTop="1" x14ac:dyDescent="0.5">
      <c r="A3" s="190" t="s">
        <v>267</v>
      </c>
      <c r="G3" s="224" t="s">
        <v>327</v>
      </c>
      <c r="H3" s="193"/>
    </row>
    <row r="4" spans="1:8" ht="21" x14ac:dyDescent="0.45">
      <c r="A4" s="75" t="s">
        <v>156</v>
      </c>
      <c r="G4" s="193"/>
      <c r="H4" s="193"/>
    </row>
    <row r="5" spans="1:8" x14ac:dyDescent="0.4">
      <c r="A5" s="10" t="s">
        <v>157</v>
      </c>
    </row>
    <row r="10" spans="1:8" x14ac:dyDescent="0.4">
      <c r="B10" s="10" t="s">
        <v>159</v>
      </c>
    </row>
    <row r="11" spans="1:8" x14ac:dyDescent="0.4">
      <c r="B11" s="10" t="s">
        <v>160</v>
      </c>
    </row>
    <row r="12" spans="1:8" x14ac:dyDescent="0.4">
      <c r="B12" s="10" t="s">
        <v>161</v>
      </c>
    </row>
    <row r="20" spans="1:14" ht="21" x14ac:dyDescent="0.45">
      <c r="A20" s="10" t="s">
        <v>162</v>
      </c>
      <c r="F20" s="76" t="s">
        <v>163</v>
      </c>
      <c r="N20" s="76"/>
    </row>
    <row r="21" spans="1:14" ht="21" x14ac:dyDescent="0.45">
      <c r="A21" s="10" t="s">
        <v>164</v>
      </c>
      <c r="H21" s="76" t="s">
        <v>163</v>
      </c>
    </row>
    <row r="22" spans="1:14" ht="21" x14ac:dyDescent="0.45">
      <c r="A22" s="10" t="s">
        <v>165</v>
      </c>
      <c r="F22" s="76" t="s">
        <v>163</v>
      </c>
    </row>
    <row r="23" spans="1:14" ht="21" x14ac:dyDescent="0.4">
      <c r="A23" s="15" t="s">
        <v>192</v>
      </c>
      <c r="L23" s="76" t="s">
        <v>163</v>
      </c>
    </row>
    <row r="24" spans="1:14" ht="21" x14ac:dyDescent="0.45">
      <c r="A24" s="10" t="s">
        <v>193</v>
      </c>
      <c r="J24" s="76" t="s">
        <v>163</v>
      </c>
    </row>
    <row r="25" spans="1:14" x14ac:dyDescent="0.4">
      <c r="A25" s="10" t="s">
        <v>220</v>
      </c>
    </row>
    <row r="26" spans="1:14" x14ac:dyDescent="0.4">
      <c r="A26" s="10" t="s">
        <v>221</v>
      </c>
      <c r="G26" s="76" t="s">
        <v>163</v>
      </c>
    </row>
    <row r="28" spans="1:14" x14ac:dyDescent="0.4">
      <c r="A28" s="10" t="s">
        <v>268</v>
      </c>
    </row>
    <row r="29" spans="1:14" x14ac:dyDescent="0.4">
      <c r="A29" s="200">
        <v>41984</v>
      </c>
      <c r="B29" s="10" t="s">
        <v>269</v>
      </c>
    </row>
    <row r="30" spans="1:14" x14ac:dyDescent="0.4">
      <c r="B30" s="10" t="s">
        <v>270</v>
      </c>
    </row>
    <row r="31" spans="1:14" x14ac:dyDescent="0.4">
      <c r="A31" s="200">
        <v>42213</v>
      </c>
      <c r="B31" s="10" t="s">
        <v>298</v>
      </c>
    </row>
    <row r="32" spans="1:14" x14ac:dyDescent="0.4">
      <c r="A32" s="200">
        <v>42438</v>
      </c>
      <c r="B32" s="10" t="s">
        <v>299</v>
      </c>
    </row>
    <row r="33" spans="1:2" x14ac:dyDescent="0.4">
      <c r="A33" s="200">
        <v>42527</v>
      </c>
      <c r="B33" s="10" t="s">
        <v>316</v>
      </c>
    </row>
    <row r="34" spans="1:2" x14ac:dyDescent="0.4">
      <c r="A34" s="200">
        <v>42544</v>
      </c>
      <c r="B34" s="10" t="s">
        <v>323</v>
      </c>
    </row>
    <row r="35" spans="1:2" x14ac:dyDescent="0.4">
      <c r="A35" s="200">
        <v>42545</v>
      </c>
      <c r="B35" s="10" t="s">
        <v>324</v>
      </c>
    </row>
    <row r="36" spans="1:2" x14ac:dyDescent="0.4">
      <c r="A36" s="200">
        <v>42555</v>
      </c>
      <c r="B36" s="10" t="s">
        <v>325</v>
      </c>
    </row>
    <row r="37" spans="1:2" x14ac:dyDescent="0.4">
      <c r="A37" s="200">
        <v>42558</v>
      </c>
      <c r="B37" s="10" t="s">
        <v>326</v>
      </c>
    </row>
    <row r="38" spans="1:2" x14ac:dyDescent="0.4">
      <c r="A38" s="200">
        <v>43188</v>
      </c>
      <c r="B38" s="10" t="s">
        <v>332</v>
      </c>
    </row>
  </sheetData>
  <sheetProtection algorithmName="SHA-512" hashValue="rmRdKqi1Vtbzg1xNZaccNxNtH6TYWEdKnRRB7I7bv3m1T69YFq52xgzIRSeuDJCnbMcLQWPJrO0idjxOZx/7tA==" saltValue="yXWcZvtQSUQzUDWxzxumzA==" spinCount="100000" sheet="1" objects="1" scenarios="1" selectLockedCells="1" autoFilter="0" selectUnlockedCells="1"/>
  <hyperlinks>
    <hyperlink ref="F20" location="INTRO!D1" display="คลิก (Click)"/>
    <hyperlink ref="H21" location="INTRO!C7" display="คลิก (Click)"/>
    <hyperlink ref="F22" location="CDS!A1" display="คลิก (Click)"/>
    <hyperlink ref="J24" location="KPI1.1!C6" display="คลิก (Click)"/>
    <hyperlink ref="G26" location="Result!E23" display="คลิก (Click)"/>
    <hyperlink ref="L23" location="TQF!B3" display="คลิก (Click)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SheetLayoutView="70" workbookViewId="0">
      <selection activeCell="K29" sqref="K29"/>
    </sheetView>
  </sheetViews>
  <sheetFormatPr defaultColWidth="9" defaultRowHeight="22.5" x14ac:dyDescent="0.45"/>
  <cols>
    <col min="1" max="1" width="5.125" style="4" customWidth="1"/>
    <col min="2" max="2" width="15.75" style="4" customWidth="1"/>
    <col min="3" max="3" width="29" style="4" customWidth="1"/>
    <col min="4" max="4" width="12" style="4" customWidth="1"/>
    <col min="5" max="5" width="16.375" style="4" customWidth="1"/>
    <col min="6" max="6" width="8.375" style="4" customWidth="1"/>
    <col min="7" max="7" width="16" style="4" customWidth="1"/>
    <col min="8" max="8" width="15.375" style="4" customWidth="1"/>
    <col min="9" max="9" width="24.625" style="4" customWidth="1"/>
    <col min="10" max="10" width="13.375" style="4" customWidth="1"/>
    <col min="11" max="16384" width="9" style="4"/>
  </cols>
  <sheetData>
    <row r="1" spans="1:10" ht="27" customHeight="1" x14ac:dyDescent="0.45">
      <c r="A1"/>
      <c r="B1" s="282" t="s">
        <v>264</v>
      </c>
      <c r="C1" s="282"/>
      <c r="D1" s="274" t="s">
        <v>79</v>
      </c>
      <c r="E1" s="274"/>
      <c r="F1" s="274"/>
      <c r="G1" s="274"/>
      <c r="H1" s="105" t="s">
        <v>190</v>
      </c>
      <c r="I1" s="225"/>
      <c r="J1" s="161"/>
    </row>
    <row r="2" spans="1:10" s="173" customFormat="1" ht="30" customHeight="1" x14ac:dyDescent="0.2">
      <c r="A2" s="172"/>
      <c r="B2" s="162" t="s">
        <v>80</v>
      </c>
      <c r="C2" s="289"/>
      <c r="D2" s="289"/>
      <c r="E2" s="289"/>
      <c r="F2" s="280" t="s">
        <v>253</v>
      </c>
      <c r="G2" s="280"/>
      <c r="H2" s="281"/>
      <c r="I2" s="281"/>
      <c r="J2" s="171" t="s">
        <v>252</v>
      </c>
    </row>
    <row r="3" spans="1:10" ht="26.25" customHeight="1" x14ac:dyDescent="0.45">
      <c r="A3"/>
      <c r="C3" s="33" t="s">
        <v>262</v>
      </c>
      <c r="D3" s="160"/>
      <c r="G3" s="281"/>
      <c r="H3" s="281"/>
      <c r="I3" s="281"/>
      <c r="J3" s="159"/>
    </row>
    <row r="4" spans="1:10" ht="26.25" customHeight="1" x14ac:dyDescent="0.45">
      <c r="A4"/>
      <c r="B4" s="165" t="s">
        <v>256</v>
      </c>
      <c r="C4" s="275"/>
      <c r="D4" s="275"/>
      <c r="E4" s="275"/>
      <c r="F4" s="165" t="s">
        <v>259</v>
      </c>
      <c r="G4" s="275"/>
      <c r="H4" s="275"/>
      <c r="I4" s="275"/>
      <c r="J4" s="159"/>
    </row>
    <row r="5" spans="1:10" ht="26.25" customHeight="1" x14ac:dyDescent="0.45">
      <c r="A5"/>
      <c r="B5" s="165" t="s">
        <v>257</v>
      </c>
      <c r="C5" s="276"/>
      <c r="D5" s="276"/>
      <c r="E5" s="276"/>
      <c r="F5" s="165" t="s">
        <v>260</v>
      </c>
      <c r="G5" s="276"/>
      <c r="H5" s="276"/>
      <c r="I5" s="276"/>
      <c r="J5" s="159"/>
    </row>
    <row r="6" spans="1:10" ht="26.25" customHeight="1" x14ac:dyDescent="0.45">
      <c r="A6"/>
      <c r="B6" s="166" t="s">
        <v>258</v>
      </c>
      <c r="C6" s="276"/>
      <c r="D6" s="276"/>
      <c r="E6" s="276"/>
      <c r="F6" s="165" t="s">
        <v>261</v>
      </c>
      <c r="G6" s="276"/>
      <c r="H6" s="276"/>
      <c r="I6" s="276"/>
      <c r="J6" s="159"/>
    </row>
    <row r="7" spans="1:10" ht="24" customHeight="1" x14ac:dyDescent="0.45">
      <c r="A7"/>
      <c r="B7" s="95" t="s">
        <v>255</v>
      </c>
      <c r="C7" s="292" t="s">
        <v>154</v>
      </c>
      <c r="D7" s="292"/>
      <c r="E7" s="292"/>
      <c r="F7" s="164"/>
      <c r="G7" s="96" t="s">
        <v>113</v>
      </c>
      <c r="H7" s="274"/>
      <c r="I7" s="274"/>
      <c r="J7"/>
    </row>
    <row r="8" spans="1:10" ht="24.75" customHeight="1" x14ac:dyDescent="0.45">
      <c r="A8"/>
      <c r="B8" s="265" t="s">
        <v>254</v>
      </c>
      <c r="C8" s="273"/>
      <c r="D8" s="273"/>
      <c r="E8" s="273"/>
      <c r="F8" s="163"/>
      <c r="G8" s="266"/>
      <c r="H8" s="277"/>
      <c r="I8" s="277"/>
      <c r="J8"/>
    </row>
    <row r="9" spans="1:10" ht="28.5" customHeight="1" x14ac:dyDescent="0.5">
      <c r="A9" s="5" t="s">
        <v>364</v>
      </c>
      <c r="J9"/>
    </row>
    <row r="10" spans="1:10" ht="86.25" customHeight="1" x14ac:dyDescent="0.45">
      <c r="A10" s="35" t="s">
        <v>23</v>
      </c>
      <c r="B10" s="36" t="s">
        <v>25</v>
      </c>
      <c r="C10" s="35" t="s">
        <v>24</v>
      </c>
      <c r="D10" s="290" t="s">
        <v>32</v>
      </c>
      <c r="E10" s="291"/>
      <c r="F10" s="168" t="s">
        <v>263</v>
      </c>
      <c r="G10" s="84" t="s">
        <v>168</v>
      </c>
      <c r="H10" s="84" t="s">
        <v>166</v>
      </c>
      <c r="I10" s="36" t="s">
        <v>167</v>
      </c>
      <c r="J10" s="36" t="s">
        <v>36</v>
      </c>
    </row>
    <row r="11" spans="1:10" x14ac:dyDescent="0.45">
      <c r="A11" s="34" t="str">
        <f>IF(C11="","",1)</f>
        <v/>
      </c>
      <c r="B11" s="186" t="s">
        <v>47</v>
      </c>
      <c r="C11" s="174"/>
      <c r="D11" s="272" t="s">
        <v>47</v>
      </c>
      <c r="E11" s="272"/>
      <c r="F11" s="167"/>
      <c r="G11" s="185" t="s">
        <v>47</v>
      </c>
      <c r="H11" s="222"/>
      <c r="I11" s="202"/>
      <c r="J11" s="203"/>
    </row>
    <row r="12" spans="1:10" x14ac:dyDescent="0.45">
      <c r="A12" s="34" t="str">
        <f t="shared" ref="A12" si="0">IF(C12="","",IF(COUNTBLANK(A9:A11)=3,"",IF(ISERROR(A11+1),"",A11+1)))</f>
        <v/>
      </c>
      <c r="B12" s="186" t="s">
        <v>47</v>
      </c>
      <c r="C12" s="175"/>
      <c r="D12" s="272" t="s">
        <v>47</v>
      </c>
      <c r="E12" s="272"/>
      <c r="F12" s="169"/>
      <c r="G12" s="186" t="s">
        <v>47</v>
      </c>
      <c r="H12" s="221"/>
      <c r="I12" s="204"/>
      <c r="J12" s="205"/>
    </row>
    <row r="13" spans="1:10" ht="18" customHeight="1" x14ac:dyDescent="0.45">
      <c r="A13" s="34" t="str">
        <f>IF(C13="","",IF(COUNTBLANK(A11:A12)=2,"",IF(ISERROR(A12+1),"",A12+1)))</f>
        <v/>
      </c>
      <c r="B13" s="186" t="s">
        <v>47</v>
      </c>
      <c r="C13" s="201"/>
      <c r="D13" s="272" t="s">
        <v>47</v>
      </c>
      <c r="E13" s="272"/>
      <c r="F13" s="169"/>
      <c r="G13" s="186" t="s">
        <v>47</v>
      </c>
      <c r="H13" s="221"/>
      <c r="I13" s="204"/>
      <c r="J13" s="205"/>
    </row>
    <row r="14" spans="1:10" ht="18" customHeight="1" x14ac:dyDescent="0.45">
      <c r="A14" s="34" t="str">
        <f t="shared" ref="A14:A24" si="1">IF(C14="","",IF(COUNTBLANK(A12:A13)=2,"",IF(ISERROR(A13+1),"",A13+1)))</f>
        <v/>
      </c>
      <c r="B14" s="186" t="s">
        <v>47</v>
      </c>
      <c r="C14" s="201"/>
      <c r="D14" s="272" t="s">
        <v>47</v>
      </c>
      <c r="E14" s="272"/>
      <c r="F14" s="169"/>
      <c r="G14" s="186" t="s">
        <v>47</v>
      </c>
      <c r="H14" s="221"/>
      <c r="I14" s="204"/>
      <c r="J14" s="205"/>
    </row>
    <row r="15" spans="1:10" ht="18" customHeight="1" x14ac:dyDescent="0.45">
      <c r="A15" s="34" t="str">
        <f t="shared" si="1"/>
        <v/>
      </c>
      <c r="B15" s="186" t="s">
        <v>47</v>
      </c>
      <c r="C15" s="201"/>
      <c r="D15" s="272" t="s">
        <v>47</v>
      </c>
      <c r="E15" s="272"/>
      <c r="F15" s="169"/>
      <c r="G15" s="186" t="s">
        <v>47</v>
      </c>
      <c r="H15" s="221"/>
      <c r="I15" s="204"/>
      <c r="J15" s="205"/>
    </row>
    <row r="16" spans="1:10" ht="18" customHeight="1" x14ac:dyDescent="0.5">
      <c r="A16" s="34" t="str">
        <f t="shared" si="1"/>
        <v/>
      </c>
      <c r="B16" s="188" t="s">
        <v>47</v>
      </c>
      <c r="C16" s="175"/>
      <c r="D16" s="272" t="s">
        <v>47</v>
      </c>
      <c r="E16" s="272"/>
      <c r="F16" s="169"/>
      <c r="G16" s="186" t="s">
        <v>47</v>
      </c>
      <c r="H16" s="221"/>
      <c r="I16" s="177"/>
      <c r="J16" s="157"/>
    </row>
    <row r="17" spans="1:10" ht="18" customHeight="1" x14ac:dyDescent="0.5">
      <c r="A17" s="34" t="str">
        <f t="shared" si="1"/>
        <v/>
      </c>
      <c r="B17" s="188" t="s">
        <v>47</v>
      </c>
      <c r="C17" s="175"/>
      <c r="D17" s="272" t="s">
        <v>47</v>
      </c>
      <c r="E17" s="272"/>
      <c r="F17" s="169"/>
      <c r="G17" s="186" t="s">
        <v>47</v>
      </c>
      <c r="H17" s="221"/>
      <c r="I17" s="177"/>
      <c r="J17" s="157"/>
    </row>
    <row r="18" spans="1:10" ht="18" customHeight="1" x14ac:dyDescent="0.5">
      <c r="A18" s="34" t="str">
        <f t="shared" si="1"/>
        <v/>
      </c>
      <c r="B18" s="188" t="s">
        <v>47</v>
      </c>
      <c r="C18" s="175"/>
      <c r="D18" s="272" t="s">
        <v>47</v>
      </c>
      <c r="E18" s="272"/>
      <c r="F18" s="169"/>
      <c r="G18" s="186" t="s">
        <v>47</v>
      </c>
      <c r="H18" s="221"/>
      <c r="I18" s="177"/>
      <c r="J18" s="157"/>
    </row>
    <row r="19" spans="1:10" ht="18" customHeight="1" x14ac:dyDescent="0.5">
      <c r="A19" s="34" t="str">
        <f t="shared" si="1"/>
        <v/>
      </c>
      <c r="B19" s="188" t="s">
        <v>47</v>
      </c>
      <c r="C19" s="175"/>
      <c r="D19" s="272" t="s">
        <v>47</v>
      </c>
      <c r="E19" s="272"/>
      <c r="F19" s="169"/>
      <c r="G19" s="186" t="s">
        <v>47</v>
      </c>
      <c r="H19" s="221"/>
      <c r="I19" s="177"/>
      <c r="J19" s="157"/>
    </row>
    <row r="20" spans="1:10" ht="18" customHeight="1" x14ac:dyDescent="0.5">
      <c r="A20" s="34" t="str">
        <f t="shared" si="1"/>
        <v/>
      </c>
      <c r="B20" s="188" t="s">
        <v>47</v>
      </c>
      <c r="C20" s="175"/>
      <c r="D20" s="272" t="s">
        <v>47</v>
      </c>
      <c r="E20" s="272"/>
      <c r="F20" s="169"/>
      <c r="G20" s="186" t="s">
        <v>47</v>
      </c>
      <c r="H20" s="221"/>
      <c r="I20" s="177"/>
      <c r="J20" s="157"/>
    </row>
    <row r="21" spans="1:10" ht="23.25" customHeight="1" x14ac:dyDescent="0.5">
      <c r="A21" s="34" t="str">
        <f t="shared" si="1"/>
        <v/>
      </c>
      <c r="B21" s="188" t="s">
        <v>47</v>
      </c>
      <c r="C21" s="175"/>
      <c r="D21" s="272" t="s">
        <v>47</v>
      </c>
      <c r="E21" s="272"/>
      <c r="F21" s="169"/>
      <c r="G21" s="186" t="s">
        <v>47</v>
      </c>
      <c r="H21" s="221"/>
      <c r="I21" s="177"/>
      <c r="J21" s="157"/>
    </row>
    <row r="22" spans="1:10" ht="23.25" customHeight="1" x14ac:dyDescent="0.5">
      <c r="A22" s="34" t="str">
        <f t="shared" si="1"/>
        <v/>
      </c>
      <c r="B22" s="188" t="s">
        <v>47</v>
      </c>
      <c r="C22" s="175"/>
      <c r="D22" s="272" t="s">
        <v>47</v>
      </c>
      <c r="E22" s="272"/>
      <c r="F22" s="169"/>
      <c r="G22" s="186" t="s">
        <v>47</v>
      </c>
      <c r="H22" s="221"/>
      <c r="I22" s="177"/>
      <c r="J22" s="157"/>
    </row>
    <row r="23" spans="1:10" ht="23.25" customHeight="1" x14ac:dyDescent="0.5">
      <c r="A23" s="34" t="str">
        <f t="shared" si="1"/>
        <v/>
      </c>
      <c r="B23" s="188" t="s">
        <v>47</v>
      </c>
      <c r="C23" s="175"/>
      <c r="D23" s="272" t="s">
        <v>47</v>
      </c>
      <c r="E23" s="272"/>
      <c r="F23" s="169"/>
      <c r="G23" s="186" t="s">
        <v>47</v>
      </c>
      <c r="H23" s="221"/>
      <c r="I23" s="177"/>
      <c r="J23" s="157"/>
    </row>
    <row r="24" spans="1:10" ht="23.25" customHeight="1" x14ac:dyDescent="0.5">
      <c r="A24" s="34" t="str">
        <f t="shared" si="1"/>
        <v/>
      </c>
      <c r="B24" s="188" t="s">
        <v>47</v>
      </c>
      <c r="C24" s="175"/>
      <c r="D24" s="272" t="s">
        <v>47</v>
      </c>
      <c r="E24" s="272"/>
      <c r="F24" s="169"/>
      <c r="G24" s="186" t="s">
        <v>47</v>
      </c>
      <c r="H24" s="221"/>
      <c r="I24" s="177"/>
      <c r="J24" s="157"/>
    </row>
    <row r="25" spans="1:10" ht="23.25" customHeight="1" x14ac:dyDescent="0.5">
      <c r="A25" s="37" t="str">
        <f t="shared" ref="A25" si="2">IF(C25="","",IF(COUNTBLANK(A22:A24)=3,"",IF(ISERROR(A24+1),"",A24+1)))</f>
        <v/>
      </c>
      <c r="B25" s="189" t="s">
        <v>47</v>
      </c>
      <c r="C25" s="176"/>
      <c r="D25" s="272" t="s">
        <v>47</v>
      </c>
      <c r="E25" s="272"/>
      <c r="F25" s="170"/>
      <c r="G25" s="187" t="s">
        <v>47</v>
      </c>
      <c r="H25" s="223"/>
      <c r="I25" s="178"/>
      <c r="J25" s="158"/>
    </row>
    <row r="26" spans="1:10" ht="23.25" x14ac:dyDescent="0.5">
      <c r="B26" s="9" t="s">
        <v>363</v>
      </c>
    </row>
    <row r="27" spans="1:10" x14ac:dyDescent="0.45">
      <c r="C27" s="7"/>
      <c r="D27" s="8" t="s">
        <v>30</v>
      </c>
      <c r="E27" s="8" t="s">
        <v>170</v>
      </c>
      <c r="F27" s="283" t="s">
        <v>169</v>
      </c>
      <c r="G27" s="284"/>
      <c r="H27" s="8" t="s">
        <v>27</v>
      </c>
    </row>
    <row r="28" spans="1:10" x14ac:dyDescent="0.45">
      <c r="C28" s="182" t="s">
        <v>37</v>
      </c>
      <c r="D28" s="73" t="str">
        <f>IF(COUNTBLANK($C$11:$C$25)=15,"",COUNTIFS($G$11:$G$25,info!$C$12,INTRO!$B$11:$B$25,info!$B$6))</f>
        <v/>
      </c>
      <c r="E28" s="73" t="str">
        <f>IF(COUNTBLANK($C$11:$C$25)=15,"",COUNTIFS($G$11:$G$25,info!$C$12,INTRO!$B$11:$B$25,info!$B$5))</f>
        <v/>
      </c>
      <c r="F28" s="285" t="str">
        <f>IF(COUNTBLANK($C$11:$C$25)=15,"",COUNTIFS($G$11:$G$25,info!$C$12,INTRO!$B$11:$B$25,info!$B$4))</f>
        <v/>
      </c>
      <c r="G28" s="286"/>
      <c r="H28" s="73" t="str">
        <f>IF(COUNTBLANK($C$11:$C$25)=15,"",COUNTIFS($G$11:$G$25,info!$C$12,INTRO!$B$11:$B$25,info!$B$3))</f>
        <v/>
      </c>
    </row>
    <row r="29" spans="1:10" x14ac:dyDescent="0.45">
      <c r="C29" s="183" t="s">
        <v>39</v>
      </c>
      <c r="D29" s="94" t="str">
        <f>IF(COUNTBLANK($C$11:$C$25)=15,"",COUNTIFS($G$11:$G$25,info!$C$11,INTRO!$B$11:$B$25,info!$B$6))</f>
        <v/>
      </c>
      <c r="E29" s="94" t="str">
        <f>IF(COUNTBLANK($C$11:$C$25)=15,"",COUNTIFS($G$11:$G$25,info!$C$11,INTRO!$B$11:$B$25,info!$B$5))</f>
        <v/>
      </c>
      <c r="F29" s="287" t="str">
        <f>IF(COUNTBLANK($C$11:$C$25)=15,"",COUNTIFS($G$11:$G$25,info!$C$11,INTRO!$B$11:$B$25,info!$B$4))</f>
        <v/>
      </c>
      <c r="G29" s="288"/>
      <c r="H29" s="94" t="str">
        <f>IF(COUNTBLANK($C$11:$C$25)=15,"",COUNTIFS($G$11:$G$25,info!$C$11,INTRO!$B$11:$B$25,info!$B$3))</f>
        <v/>
      </c>
    </row>
    <row r="30" spans="1:10" x14ac:dyDescent="0.45">
      <c r="C30" s="184" t="s">
        <v>38</v>
      </c>
      <c r="D30" s="74" t="str">
        <f>IF(COUNTBLANK($C$11:$C$25)=15,"",COUNTIFS($G$11:$G$25,info!$C$10,INTRO!$B$11:$B$25,info!$B$6))</f>
        <v/>
      </c>
      <c r="E30" s="74" t="str">
        <f>IF(COUNTBLANK($C$11:$C$25)=15,"",COUNTIFS($G$11:$G$25,info!$C$10,INTRO!$B$11:$B$25,info!$B$5))</f>
        <v/>
      </c>
      <c r="F30" s="278" t="str">
        <f>IF(COUNTBLANK($C$11:$C$25)=15,"",COUNTIFS($G$11:$G$25,info!$C$10,INTRO!$B$11:$B$25,info!$B$4))</f>
        <v/>
      </c>
      <c r="G30" s="279"/>
      <c r="H30" s="74" t="str">
        <f>IF(COUNTBLANK($C$11:$C$25)=15,"",COUNTIFS($G$11:$G$25,info!$C$10,INTRO!$B$11:$B$25,info!$B$3))</f>
        <v/>
      </c>
    </row>
    <row r="31" spans="1:10" x14ac:dyDescent="0.45">
      <c r="D31" s="38"/>
      <c r="E31" s="38"/>
      <c r="F31" s="38"/>
      <c r="G31" s="38"/>
      <c r="H31" s="38"/>
    </row>
    <row r="32" spans="1:10" x14ac:dyDescent="0.45">
      <c r="C32" s="271" t="s">
        <v>106</v>
      </c>
      <c r="D32" s="271"/>
      <c r="E32" s="271"/>
      <c r="F32" s="180"/>
      <c r="G32" s="181"/>
      <c r="H32" s="85" t="str">
        <f>IF(COUNTBLANK($C$11:$C$25)=15,"",15-COUNTIFS($C$11:$C$25,""))</f>
        <v/>
      </c>
      <c r="I32" s="179" t="s">
        <v>55</v>
      </c>
    </row>
    <row r="33" spans="3:9" x14ac:dyDescent="0.45">
      <c r="C33" s="271" t="s">
        <v>362</v>
      </c>
      <c r="D33" s="271"/>
      <c r="E33" s="271"/>
      <c r="F33" s="180"/>
      <c r="G33" s="181"/>
      <c r="H33" s="85" t="str">
        <f>IF(COUNTBLANK($C$11:$C$25)=15,"",COUNTIF($D$11:$D$25,info!$F$10))</f>
        <v/>
      </c>
      <c r="I33" s="179" t="s">
        <v>55</v>
      </c>
    </row>
    <row r="34" spans="3:9" x14ac:dyDescent="0.45">
      <c r="C34" s="271" t="s">
        <v>365</v>
      </c>
      <c r="D34" s="271"/>
      <c r="E34" s="271"/>
      <c r="F34" s="180"/>
      <c r="G34" s="181"/>
      <c r="H34" s="85" t="str">
        <f>IF(COUNTBLANK($C$11:$C$25)=15,"",COUNTIF($D$11:$D$25,info!$F$11))</f>
        <v/>
      </c>
      <c r="I34" s="179" t="s">
        <v>55</v>
      </c>
    </row>
    <row r="35" spans="3:9" x14ac:dyDescent="0.45">
      <c r="G35"/>
    </row>
  </sheetData>
  <sheetProtection algorithmName="SHA-512" hashValue="M5w581i5Ny6QFLzS1e5hlciT0EKQ12xmgAo9NOr5e+g7fnC2UOYn7Kdgc+Quk2JJSO/tvX3NHCdkftN1F5bhaQ==" saltValue="GYr2BnTdj9Me80HQ2rIhTA==" spinCount="100000" sheet="1" objects="1" scenarios="1"/>
  <mergeCells count="39">
    <mergeCell ref="F30:G30"/>
    <mergeCell ref="F2:G2"/>
    <mergeCell ref="H2:I2"/>
    <mergeCell ref="G3:I3"/>
    <mergeCell ref="B1:C1"/>
    <mergeCell ref="F27:G27"/>
    <mergeCell ref="F28:G28"/>
    <mergeCell ref="F29:G29"/>
    <mergeCell ref="C6:E6"/>
    <mergeCell ref="G4:I4"/>
    <mergeCell ref="G5:I5"/>
    <mergeCell ref="G6:I6"/>
    <mergeCell ref="C2:E2"/>
    <mergeCell ref="D1:G1"/>
    <mergeCell ref="D10:E10"/>
    <mergeCell ref="C7:E7"/>
    <mergeCell ref="C8:E8"/>
    <mergeCell ref="H7:I7"/>
    <mergeCell ref="C4:E4"/>
    <mergeCell ref="C5:E5"/>
    <mergeCell ref="D16:E16"/>
    <mergeCell ref="D11:E11"/>
    <mergeCell ref="D12:E12"/>
    <mergeCell ref="D13:E13"/>
    <mergeCell ref="D14:E14"/>
    <mergeCell ref="D15:E15"/>
    <mergeCell ref="H8:I8"/>
    <mergeCell ref="C32:E32"/>
    <mergeCell ref="C34:E34"/>
    <mergeCell ref="C33:E33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</mergeCells>
  <conditionalFormatting sqref="C16:C25">
    <cfRule type="containsBlanks" dxfId="198" priority="59">
      <formula>LEN(TRIM(C16))=0</formula>
    </cfRule>
    <cfRule type="containsBlanks" dxfId="197" priority="67">
      <formula>LEN(TRIM(C16))=0</formula>
    </cfRule>
  </conditionalFormatting>
  <conditionalFormatting sqref="H32:H34 H28:H30 F28:F30 A11:A25">
    <cfRule type="containsBlanks" dxfId="196" priority="64">
      <formula>LEN(TRIM(A11))=0</formula>
    </cfRule>
  </conditionalFormatting>
  <conditionalFormatting sqref="B11:B25">
    <cfRule type="cellIs" dxfId="195" priority="60" operator="equal">
      <formula>"เลือก"</formula>
    </cfRule>
  </conditionalFormatting>
  <conditionalFormatting sqref="D1 C4">
    <cfRule type="containsBlanks" dxfId="194" priority="51">
      <formula>LEN(TRIM(C1))=0</formula>
    </cfRule>
  </conditionalFormatting>
  <conditionalFormatting sqref="D28:E30">
    <cfRule type="containsBlanks" dxfId="193" priority="47">
      <formula>LEN(TRIM(D28))=0</formula>
    </cfRule>
  </conditionalFormatting>
  <conditionalFormatting sqref="C8">
    <cfRule type="containsBlanks" dxfId="192" priority="44">
      <formula>LEN(TRIM(C8))=0</formula>
    </cfRule>
  </conditionalFormatting>
  <conditionalFormatting sqref="C7:E7">
    <cfRule type="cellIs" dxfId="191" priority="33" operator="equal">
      <formula>"เลือกหน่วยงาน"</formula>
    </cfRule>
    <cfRule type="containsBlanks" dxfId="190" priority="80">
      <formula>LEN(TRIM(C7))=0</formula>
    </cfRule>
  </conditionalFormatting>
  <conditionalFormatting sqref="H7">
    <cfRule type="containsBlanks" dxfId="189" priority="41">
      <formula>LEN(TRIM(H7))=0</formula>
    </cfRule>
  </conditionalFormatting>
  <conditionalFormatting sqref="G11:G25 D11:E25">
    <cfRule type="cellIs" dxfId="188" priority="39" operator="equal">
      <formula>"เลือก"</formula>
    </cfRule>
  </conditionalFormatting>
  <conditionalFormatting sqref="C2">
    <cfRule type="containsBlanks" dxfId="187" priority="36">
      <formula>LEN(TRIM(C2))=0</formula>
    </cfRule>
  </conditionalFormatting>
  <conditionalFormatting sqref="I1">
    <cfRule type="containsBlanks" dxfId="186" priority="35">
      <formula>LEN(TRIM(I1))=0</formula>
    </cfRule>
  </conditionalFormatting>
  <conditionalFormatting sqref="I16:I25">
    <cfRule type="containsBlanks" dxfId="185" priority="30">
      <formula>LEN(TRIM(I16))=0</formula>
    </cfRule>
  </conditionalFormatting>
  <conditionalFormatting sqref="J16:J25">
    <cfRule type="containsBlanks" dxfId="184" priority="29">
      <formula>LEN(TRIM(J16))=0</formula>
    </cfRule>
  </conditionalFormatting>
  <conditionalFormatting sqref="H17:H25">
    <cfRule type="containsBlanks" dxfId="183" priority="28">
      <formula>LEN(TRIM(H17))=0</formula>
    </cfRule>
  </conditionalFormatting>
  <conditionalFormatting sqref="F11:F25">
    <cfRule type="containsBlanks" dxfId="182" priority="26">
      <formula>LEN(TRIM(F11))=0</formula>
    </cfRule>
    <cfRule type="containsBlanks" dxfId="181" priority="27">
      <formula>LEN(TRIM(F11))=0</formula>
    </cfRule>
  </conditionalFormatting>
  <conditionalFormatting sqref="H2">
    <cfRule type="containsBlanks" dxfId="180" priority="25">
      <formula>LEN(TRIM(H2))=0</formula>
    </cfRule>
  </conditionalFormatting>
  <conditionalFormatting sqref="G4">
    <cfRule type="containsBlanks" dxfId="179" priority="18">
      <formula>LEN(TRIM(G4))=0</formula>
    </cfRule>
  </conditionalFormatting>
  <conditionalFormatting sqref="C5">
    <cfRule type="containsBlanks" dxfId="178" priority="20">
      <formula>LEN(TRIM(C5))=0</formula>
    </cfRule>
  </conditionalFormatting>
  <conditionalFormatting sqref="C6">
    <cfRule type="containsBlanks" dxfId="177" priority="19">
      <formula>LEN(TRIM(C6))=0</formula>
    </cfRule>
  </conditionalFormatting>
  <conditionalFormatting sqref="G5:G6">
    <cfRule type="containsBlanks" dxfId="176" priority="17">
      <formula>LEN(TRIM(G5))=0</formula>
    </cfRule>
  </conditionalFormatting>
  <conditionalFormatting sqref="G3">
    <cfRule type="containsBlanks" dxfId="175" priority="13">
      <formula>LEN(TRIM(G3))=0</formula>
    </cfRule>
  </conditionalFormatting>
  <conditionalFormatting sqref="H11:H16">
    <cfRule type="containsBlanks" dxfId="174" priority="9">
      <formula>LEN(TRIM(H11))=0</formula>
    </cfRule>
  </conditionalFormatting>
  <conditionalFormatting sqref="C11:C12">
    <cfRule type="containsBlanks" dxfId="173" priority="5">
      <formula>LEN(TRIM(C11))=0</formula>
    </cfRule>
    <cfRule type="containsBlanks" dxfId="172" priority="6">
      <formula>LEN(TRIM(C11))=0</formula>
    </cfRule>
  </conditionalFormatting>
  <conditionalFormatting sqref="C13:C15">
    <cfRule type="containsBlanks" dxfId="171" priority="3">
      <formula>LEN(TRIM(C13))=0</formula>
    </cfRule>
    <cfRule type="containsBlanks" dxfId="170" priority="4">
      <formula>LEN(TRIM(C13))=0</formula>
    </cfRule>
  </conditionalFormatting>
  <conditionalFormatting sqref="I11:I15">
    <cfRule type="containsBlanks" dxfId="169" priority="2">
      <formula>LEN(TRIM(I11))=0</formula>
    </cfRule>
  </conditionalFormatting>
  <conditionalFormatting sqref="J11:J15">
    <cfRule type="containsBlanks" dxfId="168" priority="1">
      <formula>LEN(TRIM(J11))=0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&amp;R&amp;G</oddHeader>
    <oddFooter>&amp;L&amp;"Browallia New,ธรรมดา"&amp;12ข้อมูลหลักสูตร&amp;R&amp;"Browallia New,ธรรมดา"&amp;12หน้าที่ &amp;P/&amp;N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id="{0FED0229-464F-40B1-834D-71EDFA7912FB}">
            <xm:f>info!$C$9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info!$B$3:$B$7</xm:f>
          </x14:formula1>
          <xm:sqref>B11:B25</xm:sqref>
        </x14:dataValidation>
        <x14:dataValidation type="list" allowBlank="1" showInputMessage="1" showErrorMessage="1">
          <x14:formula1>
            <xm:f>info!$C$10:$C$13</xm:f>
          </x14:formula1>
          <xm:sqref>G11:G25</xm:sqref>
        </x14:dataValidation>
        <x14:dataValidation type="list" allowBlank="1" showInputMessage="1" showErrorMessage="1">
          <x14:formula1>
            <xm:f>info!$C$9:$C$12</xm:f>
          </x14:formula1>
          <xm:sqref>D1</xm:sqref>
        </x14:dataValidation>
        <x14:dataValidation type="list" allowBlank="1" showInputMessage="1" showErrorMessage="1">
          <x14:formula1>
            <xm:f>info!$C$15:$C$18</xm:f>
          </x14:formula1>
          <xm:sqref>H7</xm:sqref>
        </x14:dataValidation>
        <x14:dataValidation type="list" allowBlank="1" showInputMessage="1" showErrorMessage="1">
          <x14:formula1>
            <xm:f>info!$A$149:$A$172</xm:f>
          </x14:formula1>
          <xm:sqref>C7:E7</xm:sqref>
        </x14:dataValidation>
        <x14:dataValidation type="list" allowBlank="1" showInputMessage="1" showErrorMessage="1">
          <x14:formula1>
            <xm:f>info!$F$9:$F$13</xm:f>
          </x14:formula1>
          <xm:sqref>D11:E25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zoomScaleNormal="100" workbookViewId="0">
      <pane ySplit="3" topLeftCell="A91" activePane="bottomLeft" state="frozen"/>
      <selection activeCell="J12" sqref="J12"/>
      <selection pane="bottomLeft" activeCell="H21" sqref="H21"/>
    </sheetView>
  </sheetViews>
  <sheetFormatPr defaultColWidth="9" defaultRowHeight="20.25" x14ac:dyDescent="0.4"/>
  <cols>
    <col min="1" max="1" width="5.875" style="15" customWidth="1"/>
    <col min="2" max="2" width="87.375" style="16" customWidth="1"/>
    <col min="3" max="3" width="11.875" style="10" customWidth="1"/>
    <col min="4" max="4" width="5.875" style="10" customWidth="1"/>
    <col min="5" max="5" width="29.625" style="83" customWidth="1"/>
    <col min="6" max="6" width="12" style="10" customWidth="1"/>
    <col min="7" max="7" width="9.75" style="10" customWidth="1"/>
    <col min="8" max="8" width="10.25" style="10" customWidth="1"/>
    <col min="9" max="9" width="26.75" style="10" customWidth="1"/>
    <col min="10" max="10" width="17.75" style="10" customWidth="1"/>
    <col min="11" max="11" width="21.125" style="10" customWidth="1"/>
    <col min="12" max="16384" width="9" style="10"/>
  </cols>
  <sheetData>
    <row r="1" spans="1:8" ht="21" x14ac:dyDescent="0.4">
      <c r="A1" s="54" t="s">
        <v>122</v>
      </c>
    </row>
    <row r="2" spans="1:8" ht="21" x14ac:dyDescent="0.4">
      <c r="A2" s="54"/>
      <c r="B2" s="16" t="s">
        <v>123</v>
      </c>
    </row>
    <row r="3" spans="1:8" ht="23.25" customHeight="1" x14ac:dyDescent="0.4">
      <c r="A3" s="55" t="s">
        <v>23</v>
      </c>
      <c r="B3" s="55" t="s">
        <v>86</v>
      </c>
      <c r="C3" s="55" t="s">
        <v>3</v>
      </c>
      <c r="D3" s="55" t="s">
        <v>85</v>
      </c>
      <c r="E3" s="55" t="s">
        <v>211</v>
      </c>
    </row>
    <row r="4" spans="1:8" ht="21" customHeight="1" x14ac:dyDescent="0.4">
      <c r="A4" s="293" t="s">
        <v>48</v>
      </c>
      <c r="B4" s="294"/>
      <c r="C4" s="294"/>
      <c r="D4" s="294"/>
      <c r="E4" s="295"/>
    </row>
    <row r="5" spans="1:8" ht="18.75" customHeight="1" x14ac:dyDescent="0.4">
      <c r="A5" s="18">
        <v>1</v>
      </c>
      <c r="B5" s="11" t="s">
        <v>50</v>
      </c>
      <c r="C5" s="90"/>
      <c r="D5" s="18" t="s">
        <v>55</v>
      </c>
      <c r="E5" s="68"/>
    </row>
    <row r="6" spans="1:8" x14ac:dyDescent="0.4">
      <c r="A6" s="19">
        <v>2</v>
      </c>
      <c r="B6" s="12" t="s">
        <v>49</v>
      </c>
      <c r="C6" s="91"/>
      <c r="D6" s="19" t="s">
        <v>55</v>
      </c>
      <c r="E6" s="69"/>
    </row>
    <row r="7" spans="1:8" x14ac:dyDescent="0.4">
      <c r="A7" s="19">
        <v>3</v>
      </c>
      <c r="B7" s="12" t="s">
        <v>319</v>
      </c>
      <c r="C7" s="89"/>
      <c r="D7" s="19" t="s">
        <v>71</v>
      </c>
      <c r="E7" s="69"/>
    </row>
    <row r="8" spans="1:8" x14ac:dyDescent="0.4">
      <c r="A8" s="20">
        <v>4</v>
      </c>
      <c r="B8" s="13" t="s">
        <v>51</v>
      </c>
      <c r="C8" s="63" t="str">
        <f>IF(COUNTBLANK(C5:C6)=2,"",IF(ISERROR(C6*100/C5),,C6*100/C5))</f>
        <v/>
      </c>
      <c r="D8" s="24" t="s">
        <v>272</v>
      </c>
      <c r="E8" s="112"/>
    </row>
    <row r="9" spans="1:8" ht="21" x14ac:dyDescent="0.4">
      <c r="A9" s="296" t="s">
        <v>52</v>
      </c>
      <c r="B9" s="297"/>
      <c r="C9" s="297"/>
      <c r="D9" s="297"/>
      <c r="E9" s="298"/>
      <c r="G9"/>
      <c r="H9"/>
    </row>
    <row r="10" spans="1:8" x14ac:dyDescent="0.4">
      <c r="A10" s="18">
        <v>5</v>
      </c>
      <c r="B10" s="12" t="s">
        <v>54</v>
      </c>
      <c r="C10" s="68"/>
      <c r="D10" s="18" t="s">
        <v>55</v>
      </c>
      <c r="E10" s="68"/>
      <c r="G10"/>
      <c r="H10"/>
    </row>
    <row r="11" spans="1:8" x14ac:dyDescent="0.4">
      <c r="A11" s="99">
        <v>6</v>
      </c>
      <c r="B11" s="97" t="s">
        <v>53</v>
      </c>
      <c r="C11" s="213"/>
      <c r="D11" s="99" t="s">
        <v>55</v>
      </c>
      <c r="E11" s="213"/>
      <c r="G11"/>
      <c r="H11"/>
    </row>
    <row r="12" spans="1:8" x14ac:dyDescent="0.4">
      <c r="A12" s="99">
        <v>7</v>
      </c>
      <c r="B12" s="97" t="s">
        <v>296</v>
      </c>
      <c r="C12" s="213"/>
      <c r="D12" s="99" t="s">
        <v>55</v>
      </c>
      <c r="E12" s="213"/>
      <c r="G12"/>
      <c r="H12"/>
    </row>
    <row r="13" spans="1:8" x14ac:dyDescent="0.4">
      <c r="A13" s="99">
        <v>8</v>
      </c>
      <c r="B13" s="97" t="s">
        <v>297</v>
      </c>
      <c r="C13" s="213"/>
      <c r="D13" s="99" t="s">
        <v>55</v>
      </c>
      <c r="E13" s="213"/>
      <c r="G13"/>
      <c r="H13"/>
    </row>
    <row r="14" spans="1:8" x14ac:dyDescent="0.4">
      <c r="A14" s="99">
        <v>9</v>
      </c>
      <c r="B14" s="12" t="s">
        <v>56</v>
      </c>
      <c r="C14" s="64" t="str">
        <f>IF(COUNTBLANK(C10:C11)=2,"",IF(ISERROR((C11*100)/(C10-C12)),,(C11*100)/(C10-C12)))</f>
        <v/>
      </c>
      <c r="D14" s="19" t="s">
        <v>272</v>
      </c>
      <c r="E14" s="69"/>
    </row>
    <row r="15" spans="1:8" x14ac:dyDescent="0.4">
      <c r="A15" s="99">
        <v>10</v>
      </c>
      <c r="B15" s="107" t="s">
        <v>276</v>
      </c>
      <c r="C15" s="108" t="str">
        <f>IF(AND(C5="",C10=""),"",IF(ISERROR(C10*100/C5),,C10*100/C5))</f>
        <v/>
      </c>
      <c r="D15" s="106" t="s">
        <v>272</v>
      </c>
      <c r="E15" s="112"/>
    </row>
    <row r="16" spans="1:8" ht="21" x14ac:dyDescent="0.4">
      <c r="A16" s="299" t="s">
        <v>57</v>
      </c>
      <c r="B16" s="300"/>
      <c r="C16" s="300"/>
      <c r="D16" s="300"/>
      <c r="E16" s="301"/>
    </row>
    <row r="17" spans="1:5" x14ac:dyDescent="0.4">
      <c r="A17" s="109">
        <v>11</v>
      </c>
      <c r="B17" s="110" t="s">
        <v>63</v>
      </c>
      <c r="C17" s="111"/>
      <c r="D17" s="109" t="s">
        <v>55</v>
      </c>
      <c r="E17" s="111"/>
    </row>
    <row r="18" spans="1:5" ht="20.25" customHeight="1" x14ac:dyDescent="0.4">
      <c r="A18" s="299" t="s">
        <v>97</v>
      </c>
      <c r="B18" s="300"/>
      <c r="C18" s="300"/>
      <c r="D18" s="300"/>
      <c r="E18" s="301"/>
    </row>
    <row r="19" spans="1:5" ht="20.25" customHeight="1" x14ac:dyDescent="0.4">
      <c r="A19" s="18">
        <v>12</v>
      </c>
      <c r="B19" s="11" t="s">
        <v>195</v>
      </c>
      <c r="C19" s="22"/>
      <c r="D19" s="19" t="s">
        <v>274</v>
      </c>
      <c r="E19" s="125"/>
    </row>
    <row r="20" spans="1:5" x14ac:dyDescent="0.4">
      <c r="A20" s="19">
        <v>13</v>
      </c>
      <c r="B20" s="12" t="s">
        <v>197</v>
      </c>
      <c r="C20" s="23"/>
      <c r="D20" s="19" t="s">
        <v>274</v>
      </c>
      <c r="E20" s="126"/>
    </row>
    <row r="21" spans="1:5" x14ac:dyDescent="0.4">
      <c r="A21" s="18">
        <v>14</v>
      </c>
      <c r="B21" s="12" t="s">
        <v>196</v>
      </c>
      <c r="C21" s="23"/>
      <c r="D21" s="19" t="s">
        <v>274</v>
      </c>
      <c r="E21" s="126"/>
    </row>
    <row r="22" spans="1:5" x14ac:dyDescent="0.4">
      <c r="A22" s="19">
        <v>15</v>
      </c>
      <c r="B22" s="12" t="s">
        <v>250</v>
      </c>
      <c r="C22" s="23"/>
      <c r="D22" s="19" t="s">
        <v>274</v>
      </c>
      <c r="E22" s="126"/>
    </row>
    <row r="23" spans="1:5" x14ac:dyDescent="0.4">
      <c r="A23" s="18">
        <v>16</v>
      </c>
      <c r="B23" s="12" t="s">
        <v>206</v>
      </c>
      <c r="C23" s="23"/>
      <c r="D23" s="19" t="s">
        <v>274</v>
      </c>
      <c r="E23" s="126"/>
    </row>
    <row r="24" spans="1:5" x14ac:dyDescent="0.4">
      <c r="A24" s="19">
        <v>17</v>
      </c>
      <c r="B24" s="12" t="s">
        <v>207</v>
      </c>
      <c r="C24" s="23"/>
      <c r="D24" s="19" t="s">
        <v>274</v>
      </c>
      <c r="E24" s="23"/>
    </row>
    <row r="25" spans="1:5" x14ac:dyDescent="0.4">
      <c r="A25" s="18">
        <v>18</v>
      </c>
      <c r="B25" s="12" t="s">
        <v>208</v>
      </c>
      <c r="C25" s="23"/>
      <c r="D25" s="19" t="s">
        <v>274</v>
      </c>
      <c r="E25" s="23"/>
    </row>
    <row r="26" spans="1:5" x14ac:dyDescent="0.4">
      <c r="A26" s="19">
        <v>19</v>
      </c>
      <c r="B26" s="12" t="s">
        <v>209</v>
      </c>
      <c r="C26" s="23"/>
      <c r="D26" s="19" t="s">
        <v>274</v>
      </c>
      <c r="E26" s="23"/>
    </row>
    <row r="27" spans="1:5" x14ac:dyDescent="0.4">
      <c r="A27" s="18">
        <v>20</v>
      </c>
      <c r="B27" s="12" t="s">
        <v>210</v>
      </c>
      <c r="C27" s="23"/>
      <c r="D27" s="19" t="s">
        <v>274</v>
      </c>
      <c r="E27" s="23"/>
    </row>
    <row r="28" spans="1:5" x14ac:dyDescent="0.4">
      <c r="A28" s="19">
        <v>21</v>
      </c>
      <c r="B28" s="12" t="s">
        <v>107</v>
      </c>
      <c r="C28" s="23"/>
      <c r="D28" s="19" t="s">
        <v>274</v>
      </c>
      <c r="E28" s="23"/>
    </row>
    <row r="29" spans="1:5" x14ac:dyDescent="0.4">
      <c r="A29" s="18">
        <v>22</v>
      </c>
      <c r="B29" s="13" t="s">
        <v>89</v>
      </c>
      <c r="C29" s="61" t="str">
        <f>IF(COUNTBLANK(C19:C28)=10,"",(C19*0.1)+(C20*0.2)+(SUM(C21:C23)*0.4)+(C24*0.6)+(SUM(C25:C26)*0.8)+SUM(C27:C28))</f>
        <v/>
      </c>
      <c r="D29" s="19" t="s">
        <v>273</v>
      </c>
      <c r="E29" s="113"/>
    </row>
    <row r="30" spans="1:5" ht="20.25" customHeight="1" x14ac:dyDescent="0.4">
      <c r="A30" s="299" t="s">
        <v>98</v>
      </c>
      <c r="B30" s="300"/>
      <c r="C30" s="300"/>
      <c r="D30" s="300"/>
      <c r="E30" s="301"/>
    </row>
    <row r="31" spans="1:5" x14ac:dyDescent="0.4">
      <c r="A31" s="18">
        <v>23</v>
      </c>
      <c r="B31" s="11" t="s">
        <v>58</v>
      </c>
      <c r="C31" s="22"/>
      <c r="D31" s="18" t="s">
        <v>274</v>
      </c>
      <c r="E31" s="22"/>
    </row>
    <row r="32" spans="1:5" x14ac:dyDescent="0.4">
      <c r="A32" s="18">
        <v>24</v>
      </c>
      <c r="B32" s="12" t="s">
        <v>59</v>
      </c>
      <c r="C32" s="23"/>
      <c r="D32" s="18" t="s">
        <v>274</v>
      </c>
      <c r="E32" s="23"/>
    </row>
    <row r="33" spans="1:5" x14ac:dyDescent="0.4">
      <c r="A33" s="18">
        <v>25</v>
      </c>
      <c r="B33" s="12" t="s">
        <v>60</v>
      </c>
      <c r="C33" s="23"/>
      <c r="D33" s="18" t="s">
        <v>274</v>
      </c>
      <c r="E33" s="23"/>
    </row>
    <row r="34" spans="1:5" x14ac:dyDescent="0.4">
      <c r="A34" s="18">
        <v>26</v>
      </c>
      <c r="B34" s="12" t="s">
        <v>61</v>
      </c>
      <c r="C34" s="23"/>
      <c r="D34" s="18" t="s">
        <v>274</v>
      </c>
      <c r="E34" s="23"/>
    </row>
    <row r="35" spans="1:5" x14ac:dyDescent="0.4">
      <c r="A35" s="18">
        <v>27</v>
      </c>
      <c r="B35" s="12" t="s">
        <v>62</v>
      </c>
      <c r="C35" s="23"/>
      <c r="D35" s="18" t="s">
        <v>274</v>
      </c>
      <c r="E35" s="23"/>
    </row>
    <row r="36" spans="1:5" x14ac:dyDescent="0.4">
      <c r="A36" s="18">
        <v>28</v>
      </c>
      <c r="B36" s="12" t="s">
        <v>88</v>
      </c>
      <c r="C36" s="60" t="str">
        <f>IF(COUNTBLANK(C31:C35)=5,"",C31*0.2+C32*0.4+C33*0.6+C34*0.8+C35)</f>
        <v/>
      </c>
      <c r="D36" s="18" t="s">
        <v>273</v>
      </c>
      <c r="E36" s="23"/>
    </row>
    <row r="37" spans="1:5" x14ac:dyDescent="0.4">
      <c r="A37" s="18">
        <v>29</v>
      </c>
      <c r="B37" s="14" t="s">
        <v>90</v>
      </c>
      <c r="C37" s="61" t="str">
        <f>IF(AND(C29="",C36=""),"",SUM(C29,C36))</f>
        <v/>
      </c>
      <c r="D37" s="18" t="s">
        <v>273</v>
      </c>
      <c r="E37" s="113"/>
    </row>
    <row r="38" spans="1:5" ht="21" x14ac:dyDescent="0.4">
      <c r="A38" s="299" t="s">
        <v>95</v>
      </c>
      <c r="B38" s="300"/>
      <c r="C38" s="300"/>
      <c r="D38" s="300"/>
      <c r="E38" s="301"/>
    </row>
    <row r="39" spans="1:5" x14ac:dyDescent="0.4">
      <c r="A39" s="21">
        <v>30</v>
      </c>
      <c r="B39" s="27" t="s">
        <v>64</v>
      </c>
      <c r="C39" s="153"/>
      <c r="D39" s="21" t="s">
        <v>55</v>
      </c>
      <c r="E39" s="65"/>
    </row>
    <row r="40" spans="1:5" ht="20.25" customHeight="1" x14ac:dyDescent="0.4">
      <c r="A40" s="302" t="s">
        <v>87</v>
      </c>
      <c r="B40" s="303"/>
      <c r="C40" s="303"/>
      <c r="D40" s="303"/>
      <c r="E40" s="304"/>
    </row>
    <row r="41" spans="1:5" x14ac:dyDescent="0.4">
      <c r="A41" s="99">
        <v>31</v>
      </c>
      <c r="B41" s="97" t="s">
        <v>66</v>
      </c>
      <c r="C41" s="114"/>
      <c r="D41" s="99" t="s">
        <v>274</v>
      </c>
      <c r="E41" s="31"/>
    </row>
    <row r="42" spans="1:5" ht="24.75" customHeight="1" x14ac:dyDescent="0.4">
      <c r="A42" s="19">
        <v>32</v>
      </c>
      <c r="B42" s="12" t="s">
        <v>201</v>
      </c>
      <c r="C42" s="32"/>
      <c r="D42" s="99" t="s">
        <v>274</v>
      </c>
      <c r="E42" s="32"/>
    </row>
    <row r="43" spans="1:5" ht="40.5" x14ac:dyDescent="0.4">
      <c r="A43" s="99">
        <v>33</v>
      </c>
      <c r="B43" s="12" t="s">
        <v>202</v>
      </c>
      <c r="C43" s="32"/>
      <c r="D43" s="99" t="s">
        <v>274</v>
      </c>
      <c r="E43" s="32"/>
    </row>
    <row r="44" spans="1:5" x14ac:dyDescent="0.4">
      <c r="A44" s="19">
        <v>34</v>
      </c>
      <c r="B44" s="12" t="s">
        <v>65</v>
      </c>
      <c r="C44" s="32"/>
      <c r="D44" s="99" t="s">
        <v>274</v>
      </c>
      <c r="E44" s="32"/>
    </row>
    <row r="45" spans="1:5" x14ac:dyDescent="0.4">
      <c r="A45" s="99">
        <v>35</v>
      </c>
      <c r="B45" s="12" t="s">
        <v>67</v>
      </c>
      <c r="C45" s="32"/>
      <c r="D45" s="99" t="s">
        <v>274</v>
      </c>
      <c r="E45" s="32"/>
    </row>
    <row r="46" spans="1:5" ht="45" customHeight="1" x14ac:dyDescent="0.4">
      <c r="A46" s="19">
        <v>36</v>
      </c>
      <c r="B46" s="12" t="s">
        <v>203</v>
      </c>
      <c r="C46" s="32"/>
      <c r="D46" s="99" t="s">
        <v>274</v>
      </c>
      <c r="E46" s="32"/>
    </row>
    <row r="47" spans="1:5" ht="28.5" customHeight="1" x14ac:dyDescent="0.4">
      <c r="A47" s="99">
        <v>37</v>
      </c>
      <c r="B47" s="12" t="s">
        <v>204</v>
      </c>
      <c r="C47" s="32"/>
      <c r="D47" s="99" t="s">
        <v>274</v>
      </c>
      <c r="E47" s="32"/>
    </row>
    <row r="48" spans="1:5" x14ac:dyDescent="0.4">
      <c r="A48" s="19">
        <v>38</v>
      </c>
      <c r="B48" s="12" t="s">
        <v>205</v>
      </c>
      <c r="C48" s="32"/>
      <c r="D48" s="99" t="s">
        <v>274</v>
      </c>
      <c r="E48" s="32"/>
    </row>
    <row r="49" spans="1:5" x14ac:dyDescent="0.4">
      <c r="A49" s="99">
        <v>39</v>
      </c>
      <c r="B49" s="12" t="s">
        <v>200</v>
      </c>
      <c r="C49" s="32"/>
      <c r="D49" s="99" t="s">
        <v>274</v>
      </c>
      <c r="E49" s="32"/>
    </row>
    <row r="50" spans="1:5" x14ac:dyDescent="0.4">
      <c r="A50" s="19">
        <v>40</v>
      </c>
      <c r="B50" s="13" t="s">
        <v>89</v>
      </c>
      <c r="C50" s="62" t="str">
        <f>IF(COUNTBLANK(C41:C49)=9,"",(C41*0.2)+(SUM(C42:C44)*0.4)+(C45*0.6)+(SUM(C46:C47)*0.8)+C48+C49)</f>
        <v/>
      </c>
      <c r="D50" s="99" t="s">
        <v>273</v>
      </c>
      <c r="E50" s="115"/>
    </row>
    <row r="51" spans="1:5" ht="21" customHeight="1" x14ac:dyDescent="0.4">
      <c r="A51" s="305" t="s">
        <v>99</v>
      </c>
      <c r="B51" s="306"/>
      <c r="C51" s="306"/>
      <c r="D51" s="306"/>
      <c r="E51" s="307"/>
    </row>
    <row r="52" spans="1:5" x14ac:dyDescent="0.4">
      <c r="A52" s="18">
        <v>41</v>
      </c>
      <c r="B52" s="11" t="s">
        <v>187</v>
      </c>
      <c r="C52" s="22"/>
      <c r="D52" s="18" t="s">
        <v>274</v>
      </c>
      <c r="E52" s="22"/>
    </row>
    <row r="53" spans="1:5" x14ac:dyDescent="0.4">
      <c r="A53" s="19">
        <v>42</v>
      </c>
      <c r="B53" s="12" t="s">
        <v>59</v>
      </c>
      <c r="C53" s="23"/>
      <c r="D53" s="18" t="s">
        <v>274</v>
      </c>
      <c r="E53" s="23"/>
    </row>
    <row r="54" spans="1:5" x14ac:dyDescent="0.4">
      <c r="A54" s="18">
        <v>43</v>
      </c>
      <c r="B54" s="12" t="s">
        <v>188</v>
      </c>
      <c r="C54" s="23"/>
      <c r="D54" s="18" t="s">
        <v>274</v>
      </c>
      <c r="E54" s="23"/>
    </row>
    <row r="55" spans="1:5" x14ac:dyDescent="0.4">
      <c r="A55" s="18">
        <v>44</v>
      </c>
      <c r="B55" s="12" t="s">
        <v>61</v>
      </c>
      <c r="C55" s="23"/>
      <c r="D55" s="18" t="s">
        <v>274</v>
      </c>
      <c r="E55" s="23"/>
    </row>
    <row r="56" spans="1:5" x14ac:dyDescent="0.4">
      <c r="A56" s="19">
        <v>45</v>
      </c>
      <c r="B56" s="12" t="s">
        <v>189</v>
      </c>
      <c r="C56" s="23"/>
      <c r="D56" s="18" t="s">
        <v>274</v>
      </c>
      <c r="E56" s="23"/>
    </row>
    <row r="57" spans="1:5" x14ac:dyDescent="0.4">
      <c r="A57" s="18">
        <v>46</v>
      </c>
      <c r="B57" s="12" t="s">
        <v>89</v>
      </c>
      <c r="C57" s="60" t="str">
        <f>IF(COUNTBLANK(C52:C56)=5,"",C52*0.2+C53*0.4+C54*0.6+C55*0.8+C56)</f>
        <v/>
      </c>
      <c r="D57" s="18" t="s">
        <v>273</v>
      </c>
      <c r="E57" s="118"/>
    </row>
    <row r="58" spans="1:5" x14ac:dyDescent="0.4">
      <c r="A58" s="18">
        <v>47</v>
      </c>
      <c r="B58" s="14" t="s">
        <v>90</v>
      </c>
      <c r="C58" s="61" t="str">
        <f>IF(AND(C50="",C57=""),"",SUM(C50,C57))</f>
        <v/>
      </c>
      <c r="D58" s="18" t="s">
        <v>273</v>
      </c>
      <c r="E58" s="113"/>
    </row>
    <row r="59" spans="1:5" ht="21" x14ac:dyDescent="0.4">
      <c r="A59" s="308" t="s">
        <v>100</v>
      </c>
      <c r="B59" s="309"/>
      <c r="C59" s="309"/>
      <c r="D59" s="309"/>
      <c r="E59" s="310"/>
    </row>
    <row r="60" spans="1:5" ht="20.25" customHeight="1" x14ac:dyDescent="0.4">
      <c r="A60" s="43"/>
      <c r="B60" s="294" t="s">
        <v>101</v>
      </c>
      <c r="C60" s="294"/>
      <c r="D60" s="294"/>
      <c r="E60" s="295"/>
    </row>
    <row r="61" spans="1:5" x14ac:dyDescent="0.4">
      <c r="A61" s="116">
        <v>48</v>
      </c>
      <c r="B61" s="97" t="s">
        <v>266</v>
      </c>
      <c r="C61" s="117" t="str">
        <f>IF(COUNTBLANK(INTRO!C11:C25)=15,"",COUNTIF(INTRO!G11:G25,"ปริญญาเอก"))</f>
        <v/>
      </c>
      <c r="D61" s="206" t="s">
        <v>55</v>
      </c>
      <c r="E61" s="22"/>
    </row>
    <row r="62" spans="1:5" x14ac:dyDescent="0.4">
      <c r="A62" s="52">
        <v>49</v>
      </c>
      <c r="B62" s="12" t="s">
        <v>70</v>
      </c>
      <c r="C62" s="59" t="str">
        <f>IF(COUNTBLANK(INTRO!C11:C25)=15,"",15-COUNTIF(INTRO!C11:C25,""))</f>
        <v/>
      </c>
      <c r="D62" s="206" t="s">
        <v>55</v>
      </c>
      <c r="E62" s="23"/>
    </row>
    <row r="63" spans="1:5" x14ac:dyDescent="0.4">
      <c r="A63" s="52">
        <v>50</v>
      </c>
      <c r="B63" s="12" t="s">
        <v>68</v>
      </c>
      <c r="C63" s="57" t="str">
        <f>IF(COUNTBLANK(C61:C62)=2,"",IF(ISERROR(C61*100/C62),,C61*100/C62))</f>
        <v/>
      </c>
      <c r="D63" s="206" t="s">
        <v>272</v>
      </c>
      <c r="E63" s="23"/>
    </row>
    <row r="64" spans="1:5" x14ac:dyDescent="0.4">
      <c r="A64" s="53">
        <v>51</v>
      </c>
      <c r="B64" s="13" t="s">
        <v>74</v>
      </c>
      <c r="C64" s="58" t="str">
        <f>IF(C63="","",(IF(INTRO!D1="ปริญญาเอก",IF(ISERROR(C63*5/100),,IF(C63*5/100&gt;5,5,C63*5/100)),IF(INTRO!D1="ปริญญาโท",IF(ISERROR(C63*5/60),,IF(C63*5/60&gt;5,5,C63*5/60)),IF(INTRO!D1="ปริญญาตรี",IF(ISERROR(C63*5/20),,IF(C63*5/20&gt;5,5,C63*5/20)))))))</f>
        <v/>
      </c>
      <c r="D64" s="206" t="s">
        <v>71</v>
      </c>
      <c r="E64" s="113"/>
    </row>
    <row r="65" spans="1:5" ht="20.25" customHeight="1" x14ac:dyDescent="0.4">
      <c r="A65" s="43"/>
      <c r="B65" s="311" t="s">
        <v>102</v>
      </c>
      <c r="C65" s="311"/>
      <c r="D65" s="311"/>
      <c r="E65" s="312"/>
    </row>
    <row r="66" spans="1:5" x14ac:dyDescent="0.4">
      <c r="A66" s="51">
        <v>52</v>
      </c>
      <c r="B66" s="11" t="s">
        <v>72</v>
      </c>
      <c r="C66" s="56" t="str">
        <f>IF(COUNTBLANK(INTRO!C11:C25)=15,"",COUNTIF(INTRO!B11:B25,"ผศ.")+COUNTIF(INTRO!B11:B25,"รศ.")+COUNTIF(INTRO!B11:B25,"ศ."))</f>
        <v/>
      </c>
      <c r="D66" s="207" t="s">
        <v>55</v>
      </c>
      <c r="E66" s="23"/>
    </row>
    <row r="67" spans="1:5" x14ac:dyDescent="0.4">
      <c r="A67" s="52">
        <v>53</v>
      </c>
      <c r="B67" s="12" t="s">
        <v>69</v>
      </c>
      <c r="C67" s="57" t="str">
        <f>IF(C62="","",IF(ISERROR(C66*100/C62),,C66*100/C62))</f>
        <v/>
      </c>
      <c r="D67" s="207" t="s">
        <v>272</v>
      </c>
      <c r="E67" s="23"/>
    </row>
    <row r="68" spans="1:5" x14ac:dyDescent="0.4">
      <c r="A68" s="53">
        <v>54</v>
      </c>
      <c r="B68" s="107" t="s">
        <v>73</v>
      </c>
      <c r="C68" s="121" t="str">
        <f>IF(C67="","",(IF(INTRO!D1="ปริญญาเอก",IF(ISERROR(C67*5/100),,IF(C67*5/100&gt;5,5,C67*5/100)),IF(INTRO!D1="ปริญญาโท",IF(ISERROR(C67*5/80),,IF(C67*5/80&gt;5,5,C67*5/80)),IF(INTRO!D1="ปริญญาตรี",IF(ISERROR(C67*5/60),,IF(C67*5/60&gt;5,5,C67*5/60)))))))</f>
        <v/>
      </c>
      <c r="D68" s="207" t="s">
        <v>71</v>
      </c>
      <c r="E68" s="122"/>
    </row>
    <row r="69" spans="1:5" ht="21" x14ac:dyDescent="0.4">
      <c r="A69" s="119"/>
      <c r="B69" s="311" t="s">
        <v>103</v>
      </c>
      <c r="C69" s="311"/>
      <c r="D69" s="311"/>
      <c r="E69" s="312"/>
    </row>
    <row r="70" spans="1:5" ht="20.25" customHeight="1" x14ac:dyDescent="0.4">
      <c r="A70" s="43"/>
      <c r="B70" s="294" t="s">
        <v>104</v>
      </c>
      <c r="C70" s="294"/>
      <c r="D70" s="294"/>
      <c r="E70" s="295"/>
    </row>
    <row r="71" spans="1:5" x14ac:dyDescent="0.4">
      <c r="A71" s="116">
        <v>55</v>
      </c>
      <c r="B71" s="208" t="s">
        <v>277</v>
      </c>
      <c r="C71" s="98"/>
      <c r="D71" s="99" t="s">
        <v>274</v>
      </c>
      <c r="E71" s="66"/>
    </row>
    <row r="72" spans="1:5" x14ac:dyDescent="0.4">
      <c r="A72" s="127">
        <v>56</v>
      </c>
      <c r="B72" s="208" t="s">
        <v>278</v>
      </c>
      <c r="C72" s="98"/>
      <c r="D72" s="99" t="s">
        <v>274</v>
      </c>
      <c r="E72" s="98"/>
    </row>
    <row r="73" spans="1:5" x14ac:dyDescent="0.4">
      <c r="A73" s="116">
        <v>57</v>
      </c>
      <c r="B73" s="209" t="s">
        <v>279</v>
      </c>
      <c r="C73" s="67"/>
      <c r="D73" s="99" t="s">
        <v>274</v>
      </c>
      <c r="E73" s="98"/>
    </row>
    <row r="74" spans="1:5" x14ac:dyDescent="0.4">
      <c r="A74" s="127">
        <v>58</v>
      </c>
      <c r="B74" s="209" t="s">
        <v>280</v>
      </c>
      <c r="C74" s="67"/>
      <c r="D74" s="99" t="s">
        <v>274</v>
      </c>
      <c r="E74" s="98"/>
    </row>
    <row r="75" spans="1:5" ht="40.5" x14ac:dyDescent="0.4">
      <c r="A75" s="116">
        <v>59</v>
      </c>
      <c r="B75" s="209" t="s">
        <v>281</v>
      </c>
      <c r="C75" s="67"/>
      <c r="D75" s="99" t="s">
        <v>274</v>
      </c>
      <c r="E75" s="98"/>
    </row>
    <row r="76" spans="1:5" ht="40.5" x14ac:dyDescent="0.4">
      <c r="A76" s="127">
        <v>60</v>
      </c>
      <c r="B76" s="209" t="s">
        <v>282</v>
      </c>
      <c r="C76" s="67"/>
      <c r="D76" s="99" t="s">
        <v>274</v>
      </c>
      <c r="E76" s="98"/>
    </row>
    <row r="77" spans="1:5" x14ac:dyDescent="0.4">
      <c r="A77" s="116">
        <v>61</v>
      </c>
      <c r="B77" s="210" t="s">
        <v>206</v>
      </c>
      <c r="C77" s="67"/>
      <c r="D77" s="99" t="s">
        <v>274</v>
      </c>
      <c r="E77" s="98"/>
    </row>
    <row r="78" spans="1:5" x14ac:dyDescent="0.4">
      <c r="A78" s="127">
        <v>62</v>
      </c>
      <c r="B78" s="210" t="s">
        <v>283</v>
      </c>
      <c r="C78" s="67"/>
      <c r="D78" s="99" t="s">
        <v>274</v>
      </c>
      <c r="E78" s="98"/>
    </row>
    <row r="79" spans="1:5" x14ac:dyDescent="0.4">
      <c r="A79" s="116">
        <v>63</v>
      </c>
      <c r="B79" s="210" t="s">
        <v>284</v>
      </c>
      <c r="C79" s="67"/>
      <c r="D79" s="99" t="s">
        <v>274</v>
      </c>
      <c r="E79" s="98"/>
    </row>
    <row r="80" spans="1:5" ht="40.5" x14ac:dyDescent="0.4">
      <c r="A80" s="127">
        <v>64</v>
      </c>
      <c r="B80" s="210" t="s">
        <v>285</v>
      </c>
      <c r="C80" s="67"/>
      <c r="D80" s="99" t="s">
        <v>274</v>
      </c>
      <c r="E80" s="98"/>
    </row>
    <row r="81" spans="1:5" ht="40.5" x14ac:dyDescent="0.4">
      <c r="A81" s="116">
        <v>65</v>
      </c>
      <c r="B81" s="210" t="s">
        <v>286</v>
      </c>
      <c r="C81" s="67"/>
      <c r="D81" s="99" t="s">
        <v>274</v>
      </c>
      <c r="E81" s="98"/>
    </row>
    <row r="82" spans="1:5" x14ac:dyDescent="0.4">
      <c r="A82" s="127">
        <v>66</v>
      </c>
      <c r="B82" s="210" t="s">
        <v>287</v>
      </c>
      <c r="C82" s="67"/>
      <c r="D82" s="99" t="s">
        <v>274</v>
      </c>
      <c r="E82" s="98"/>
    </row>
    <row r="83" spans="1:5" x14ac:dyDescent="0.4">
      <c r="A83" s="116">
        <v>67</v>
      </c>
      <c r="B83" s="210" t="s">
        <v>288</v>
      </c>
      <c r="C83" s="67"/>
      <c r="D83" s="99" t="s">
        <v>274</v>
      </c>
      <c r="E83" s="98"/>
    </row>
    <row r="84" spans="1:5" x14ac:dyDescent="0.4">
      <c r="A84" s="127">
        <v>68</v>
      </c>
      <c r="B84" s="210" t="s">
        <v>289</v>
      </c>
      <c r="C84" s="67"/>
      <c r="D84" s="99" t="s">
        <v>274</v>
      </c>
      <c r="E84" s="98"/>
    </row>
    <row r="85" spans="1:5" x14ac:dyDescent="0.4">
      <c r="A85" s="116">
        <v>69</v>
      </c>
      <c r="B85" s="210" t="s">
        <v>290</v>
      </c>
      <c r="C85" s="67"/>
      <c r="D85" s="99" t="s">
        <v>274</v>
      </c>
      <c r="E85" s="98"/>
    </row>
    <row r="86" spans="1:5" x14ac:dyDescent="0.4">
      <c r="A86" s="127">
        <v>70</v>
      </c>
      <c r="B86" s="210" t="s">
        <v>107</v>
      </c>
      <c r="C86" s="67"/>
      <c r="D86" s="99" t="s">
        <v>274</v>
      </c>
      <c r="E86" s="98"/>
    </row>
    <row r="87" spans="1:5" x14ac:dyDescent="0.4">
      <c r="A87" s="116">
        <v>71</v>
      </c>
      <c r="B87" s="210" t="s">
        <v>271</v>
      </c>
      <c r="C87" s="67"/>
      <c r="D87" s="99" t="s">
        <v>274</v>
      </c>
      <c r="E87" s="98"/>
    </row>
    <row r="88" spans="1:5" x14ac:dyDescent="0.4">
      <c r="A88" s="127">
        <v>72</v>
      </c>
      <c r="B88" s="210" t="s">
        <v>108</v>
      </c>
      <c r="C88" s="67"/>
      <c r="D88" s="99" t="s">
        <v>274</v>
      </c>
      <c r="E88" s="98"/>
    </row>
    <row r="89" spans="1:5" x14ac:dyDescent="0.4">
      <c r="A89" s="116">
        <v>73</v>
      </c>
      <c r="B89" s="210" t="s">
        <v>109</v>
      </c>
      <c r="C89" s="67"/>
      <c r="D89" s="99" t="s">
        <v>274</v>
      </c>
      <c r="E89" s="98"/>
    </row>
    <row r="90" spans="1:5" x14ac:dyDescent="0.4">
      <c r="A90" s="127">
        <v>74</v>
      </c>
      <c r="B90" s="210" t="s">
        <v>291</v>
      </c>
      <c r="C90" s="67"/>
      <c r="D90" s="99" t="s">
        <v>274</v>
      </c>
      <c r="E90" s="98"/>
    </row>
    <row r="91" spans="1:5" x14ac:dyDescent="0.4">
      <c r="A91" s="116">
        <v>75</v>
      </c>
      <c r="B91" s="210" t="s">
        <v>292</v>
      </c>
      <c r="C91" s="67"/>
      <c r="D91" s="99" t="s">
        <v>274</v>
      </c>
      <c r="E91" s="98"/>
    </row>
    <row r="92" spans="1:5" ht="40.5" x14ac:dyDescent="0.4">
      <c r="A92" s="127">
        <v>76</v>
      </c>
      <c r="B92" s="210" t="s">
        <v>293</v>
      </c>
      <c r="C92" s="67"/>
      <c r="D92" s="99" t="s">
        <v>274</v>
      </c>
      <c r="E92" s="98"/>
    </row>
    <row r="93" spans="1:5" ht="40.5" x14ac:dyDescent="0.4">
      <c r="A93" s="116">
        <v>77</v>
      </c>
      <c r="B93" s="211" t="s">
        <v>294</v>
      </c>
      <c r="C93" s="128"/>
      <c r="D93" s="99" t="s">
        <v>274</v>
      </c>
      <c r="E93" s="98"/>
    </row>
    <row r="94" spans="1:5" x14ac:dyDescent="0.4">
      <c r="A94" s="127">
        <v>78</v>
      </c>
      <c r="B94" s="212" t="s">
        <v>89</v>
      </c>
      <c r="C94" s="61" t="str">
        <f>IF(COUNTBLANK(C71:C93)=23,"",(SUM(C71:C72)*0.2)+(SUM(C73:C77)*0.4)+(SUM(C78:C79)*0.6)+(SUM(C80:C83)*0.8)+SUM(C84:C93))</f>
        <v/>
      </c>
      <c r="D94" s="99" t="s">
        <v>273</v>
      </c>
      <c r="E94" s="120"/>
    </row>
    <row r="95" spans="1:5" ht="20.25" customHeight="1" x14ac:dyDescent="0.4">
      <c r="A95" s="43"/>
      <c r="B95" s="294" t="s">
        <v>96</v>
      </c>
      <c r="C95" s="294"/>
      <c r="D95" s="294"/>
      <c r="E95" s="295"/>
    </row>
    <row r="96" spans="1:5" x14ac:dyDescent="0.4">
      <c r="A96" s="18">
        <v>79</v>
      </c>
      <c r="B96" s="97" t="s">
        <v>58</v>
      </c>
      <c r="C96" s="118"/>
      <c r="D96" s="99" t="s">
        <v>274</v>
      </c>
      <c r="E96" s="22"/>
    </row>
    <row r="97" spans="1:5" x14ac:dyDescent="0.4">
      <c r="A97" s="19">
        <v>80</v>
      </c>
      <c r="B97" s="12" t="s">
        <v>59</v>
      </c>
      <c r="C97" s="23"/>
      <c r="D97" s="99" t="s">
        <v>274</v>
      </c>
      <c r="E97" s="118"/>
    </row>
    <row r="98" spans="1:5" x14ac:dyDescent="0.4">
      <c r="A98" s="18">
        <v>81</v>
      </c>
      <c r="B98" s="12" t="s">
        <v>60</v>
      </c>
      <c r="C98" s="23"/>
      <c r="D98" s="99" t="s">
        <v>274</v>
      </c>
      <c r="E98" s="118"/>
    </row>
    <row r="99" spans="1:5" x14ac:dyDescent="0.4">
      <c r="A99" s="19">
        <v>82</v>
      </c>
      <c r="B99" s="12" t="s">
        <v>61</v>
      </c>
      <c r="C99" s="23"/>
      <c r="D99" s="99" t="s">
        <v>274</v>
      </c>
      <c r="E99" s="118"/>
    </row>
    <row r="100" spans="1:5" x14ac:dyDescent="0.4">
      <c r="A100" s="18">
        <v>83</v>
      </c>
      <c r="B100" s="12" t="s">
        <v>62</v>
      </c>
      <c r="C100" s="23"/>
      <c r="D100" s="99" t="s">
        <v>274</v>
      </c>
      <c r="E100" s="118"/>
    </row>
    <row r="101" spans="1:5" x14ac:dyDescent="0.4">
      <c r="A101" s="19">
        <v>84</v>
      </c>
      <c r="B101" s="12" t="s">
        <v>88</v>
      </c>
      <c r="C101" s="61" t="str">
        <f>IF(COUNTBLANK(C96:C100)=5,"",(SUM(C96)*0.2)+(SUM(C97)*0.4)+(SUM(C98)*0.6)+(SUM(C99)*0.8)+SUM(C100))</f>
        <v/>
      </c>
      <c r="D101" s="19" t="s">
        <v>273</v>
      </c>
      <c r="E101" s="118"/>
    </row>
    <row r="102" spans="1:5" x14ac:dyDescent="0.4">
      <c r="A102" s="18">
        <v>85</v>
      </c>
      <c r="B102" s="14" t="s">
        <v>90</v>
      </c>
      <c r="C102" s="61" t="str">
        <f>IF(AND(C94="",C101=""),"",SUM(C94,C101))</f>
        <v/>
      </c>
      <c r="D102" s="20" t="s">
        <v>273</v>
      </c>
      <c r="E102" s="123"/>
    </row>
    <row r="103" spans="1:5" ht="24" customHeight="1" x14ac:dyDescent="0.4">
      <c r="A103" s="43"/>
      <c r="B103" s="294" t="s">
        <v>251</v>
      </c>
      <c r="C103" s="294"/>
      <c r="D103" s="294"/>
      <c r="E103" s="295"/>
    </row>
    <row r="104" spans="1:5" x14ac:dyDescent="0.4">
      <c r="A104" s="18">
        <v>86</v>
      </c>
      <c r="B104" s="124" t="s">
        <v>212</v>
      </c>
      <c r="C104" s="118"/>
      <c r="D104" s="99" t="s">
        <v>274</v>
      </c>
      <c r="E104" s="22"/>
    </row>
    <row r="105" spans="1:5" x14ac:dyDescent="0.4">
      <c r="A105" s="19">
        <v>87</v>
      </c>
      <c r="B105" s="39" t="s">
        <v>110</v>
      </c>
      <c r="C105" s="154" t="str">
        <f>IF(INTRO!D1=info!C10,IF(INTRO!H32="","",INTRO!H32),"")</f>
        <v/>
      </c>
      <c r="D105" s="40" t="s">
        <v>55</v>
      </c>
      <c r="E105" s="118"/>
    </row>
    <row r="106" spans="1:5" x14ac:dyDescent="0.4">
      <c r="A106" s="20">
        <v>88</v>
      </c>
      <c r="B106" s="41" t="s">
        <v>111</v>
      </c>
      <c r="C106" s="61" t="str">
        <f>IF(INTRO!D1=info!C10,IF(COUNTBLANK(CDS!C104:C105)=2,"",IF(ISERROR(CDS!C104/CDS!C105),,CDS!C104/CDS!C105)),"")</f>
        <v/>
      </c>
      <c r="D106" s="42" t="s">
        <v>275</v>
      </c>
      <c r="E106" s="123"/>
    </row>
    <row r="107" spans="1:5" ht="21" x14ac:dyDescent="0.4">
      <c r="A107" s="43"/>
      <c r="B107" s="294"/>
      <c r="C107" s="294"/>
      <c r="D107" s="294"/>
      <c r="E107" s="295"/>
    </row>
    <row r="108" spans="1:5" customFormat="1" ht="25.5" customHeight="1" x14ac:dyDescent="0.2">
      <c r="A108" s="228">
        <v>89</v>
      </c>
      <c r="B108" s="27" t="s">
        <v>321</v>
      </c>
      <c r="C108" s="227"/>
      <c r="D108" s="21" t="s">
        <v>71</v>
      </c>
      <c r="E108" s="226" t="s">
        <v>320</v>
      </c>
    </row>
    <row r="109" spans="1:5" customFormat="1" ht="14.25" x14ac:dyDescent="0.2">
      <c r="E109" s="93"/>
    </row>
    <row r="110" spans="1:5" customFormat="1" ht="14.25" x14ac:dyDescent="0.2">
      <c r="E110" s="93"/>
    </row>
  </sheetData>
  <sheetProtection algorithmName="SHA-512" hashValue="wkEPB9uci+iM+X1kO59vGtm8RsHEW31ITjMH/k6lXTkbJnG3XLLFm5fboXInJ9OXHjdJEig5lgZWTurhqaSNwg==" saltValue="uKj4f7FMyGskPXXgY/3qpA==" spinCount="100000" sheet="1" objects="1" scenarios="1"/>
  <mergeCells count="16">
    <mergeCell ref="B107:E107"/>
    <mergeCell ref="B65:E65"/>
    <mergeCell ref="B69:E69"/>
    <mergeCell ref="B70:E70"/>
    <mergeCell ref="B95:E95"/>
    <mergeCell ref="B103:E103"/>
    <mergeCell ref="A38:E38"/>
    <mergeCell ref="A40:E40"/>
    <mergeCell ref="A51:E51"/>
    <mergeCell ref="A59:E59"/>
    <mergeCell ref="B60:E60"/>
    <mergeCell ref="A4:E4"/>
    <mergeCell ref="A9:E9"/>
    <mergeCell ref="A16:E16"/>
    <mergeCell ref="A18:E18"/>
    <mergeCell ref="A30:E30"/>
  </mergeCells>
  <conditionalFormatting sqref="C5:C7 C52:C55 C20:C27 E80:E94 E77 C71:C93">
    <cfRule type="containsBlanks" dxfId="166" priority="59">
      <formula>LEN(TRIM(C5))=0</formula>
    </cfRule>
  </conditionalFormatting>
  <conditionalFormatting sqref="C41:C49">
    <cfRule type="containsBlanks" dxfId="165" priority="53">
      <formula>LEN(TRIM(C41))=0</formula>
    </cfRule>
  </conditionalFormatting>
  <conditionalFormatting sqref="C10 C12:C13">
    <cfRule type="containsBlanks" dxfId="164" priority="57">
      <formula>LEN(TRIM(C10))=0</formula>
    </cfRule>
  </conditionalFormatting>
  <conditionalFormatting sqref="C17">
    <cfRule type="containsBlanks" dxfId="163" priority="56">
      <formula>LEN(TRIM(C17))=0</formula>
    </cfRule>
  </conditionalFormatting>
  <conditionalFormatting sqref="C31:C35">
    <cfRule type="containsBlanks" dxfId="162" priority="54">
      <formula>LEN(TRIM(C31))=0</formula>
    </cfRule>
  </conditionalFormatting>
  <conditionalFormatting sqref="C28">
    <cfRule type="containsBlanks" dxfId="161" priority="51">
      <formula>LEN(TRIM(C28))=0</formula>
    </cfRule>
  </conditionalFormatting>
  <conditionalFormatting sqref="C56">
    <cfRule type="containsBlanks" dxfId="160" priority="49">
      <formula>LEN(TRIM(C56))=0</formula>
    </cfRule>
  </conditionalFormatting>
  <conditionalFormatting sqref="C96:C100">
    <cfRule type="containsBlanks" dxfId="159" priority="48">
      <formula>LEN(TRIM(C96))=0</formula>
    </cfRule>
  </conditionalFormatting>
  <conditionalFormatting sqref="C104">
    <cfRule type="containsBlanks" dxfId="158" priority="46">
      <formula>LEN(TRIM(C104))=0</formula>
    </cfRule>
  </conditionalFormatting>
  <conditionalFormatting sqref="C39">
    <cfRule type="containsBlanks" dxfId="157" priority="45">
      <formula>LEN(TRIM(C39))=0</formula>
    </cfRule>
  </conditionalFormatting>
  <conditionalFormatting sqref="C66:C68">
    <cfRule type="containsBlanks" dxfId="156" priority="44">
      <formula>LEN(TRIM(C66))=0</formula>
    </cfRule>
  </conditionalFormatting>
  <conditionalFormatting sqref="C61:C64">
    <cfRule type="containsBlanks" dxfId="155" priority="43">
      <formula>LEN(TRIM(C61))=0</formula>
    </cfRule>
  </conditionalFormatting>
  <conditionalFormatting sqref="C57:C58">
    <cfRule type="containsBlanks" dxfId="154" priority="42">
      <formula>LEN(TRIM(C57))=0</formula>
    </cfRule>
  </conditionalFormatting>
  <conditionalFormatting sqref="C8">
    <cfRule type="containsBlanks" dxfId="153" priority="41">
      <formula>LEN(TRIM(C8))=0</formula>
    </cfRule>
  </conditionalFormatting>
  <conditionalFormatting sqref="C14:C15">
    <cfRule type="containsBlanks" dxfId="152" priority="40">
      <formula>LEN(TRIM(C14))=0</formula>
    </cfRule>
  </conditionalFormatting>
  <conditionalFormatting sqref="C29">
    <cfRule type="containsBlanks" dxfId="151" priority="39">
      <formula>LEN(TRIM(C29))=0</formula>
    </cfRule>
  </conditionalFormatting>
  <conditionalFormatting sqref="C36:C37">
    <cfRule type="containsBlanks" dxfId="150" priority="38">
      <formula>LEN(TRIM(C36))=0</formula>
    </cfRule>
  </conditionalFormatting>
  <conditionalFormatting sqref="C50">
    <cfRule type="containsBlanks" dxfId="149" priority="37">
      <formula>LEN(TRIM(C50))=0</formula>
    </cfRule>
  </conditionalFormatting>
  <conditionalFormatting sqref="C94">
    <cfRule type="containsBlanks" dxfId="148" priority="36">
      <formula>LEN(TRIM(C94))=0</formula>
    </cfRule>
  </conditionalFormatting>
  <conditionalFormatting sqref="C102">
    <cfRule type="containsBlanks" dxfId="147" priority="35">
      <formula>LEN(TRIM(C102))=0</formula>
    </cfRule>
  </conditionalFormatting>
  <conditionalFormatting sqref="C105:C106">
    <cfRule type="containsBlanks" dxfId="146" priority="34">
      <formula>LEN(TRIM(C105))=0</formula>
    </cfRule>
  </conditionalFormatting>
  <conditionalFormatting sqref="C19">
    <cfRule type="containsBlanks" dxfId="145" priority="33">
      <formula>LEN(TRIM(C19))=0</formula>
    </cfRule>
  </conditionalFormatting>
  <conditionalFormatting sqref="E52:E55 E57:E58">
    <cfRule type="containsBlanks" dxfId="144" priority="17">
      <formula>LEN(TRIM(E52))=0</formula>
    </cfRule>
  </conditionalFormatting>
  <conditionalFormatting sqref="E56">
    <cfRule type="containsBlanks" dxfId="143" priority="16">
      <formula>LEN(TRIM(E56))=0</formula>
    </cfRule>
  </conditionalFormatting>
  <conditionalFormatting sqref="E10:E13">
    <cfRule type="containsBlanks" dxfId="142" priority="30">
      <formula>LEN(TRIM(E10))=0</formula>
    </cfRule>
  </conditionalFormatting>
  <conditionalFormatting sqref="E14:E15">
    <cfRule type="containsBlanks" dxfId="141" priority="29">
      <formula>LEN(TRIM(E14))=0</formula>
    </cfRule>
  </conditionalFormatting>
  <conditionalFormatting sqref="E5:E6">
    <cfRule type="containsBlanks" dxfId="140" priority="28">
      <formula>LEN(TRIM(E5))=0</formula>
    </cfRule>
  </conditionalFormatting>
  <conditionalFormatting sqref="E7:E8">
    <cfRule type="containsBlanks" dxfId="139" priority="27">
      <formula>LEN(TRIM(E7))=0</formula>
    </cfRule>
  </conditionalFormatting>
  <conditionalFormatting sqref="E17">
    <cfRule type="containsBlanks" dxfId="138" priority="26">
      <formula>LEN(TRIM(E17))=0</formula>
    </cfRule>
  </conditionalFormatting>
  <conditionalFormatting sqref="E24:E27">
    <cfRule type="containsBlanks" dxfId="137" priority="25">
      <formula>LEN(TRIM(E24))=0</formula>
    </cfRule>
  </conditionalFormatting>
  <conditionalFormatting sqref="E28">
    <cfRule type="containsBlanks" dxfId="136" priority="24">
      <formula>LEN(TRIM(E28))=0</formula>
    </cfRule>
  </conditionalFormatting>
  <conditionalFormatting sqref="E29">
    <cfRule type="containsBlanks" dxfId="135" priority="23">
      <formula>LEN(TRIM(E29))=0</formula>
    </cfRule>
  </conditionalFormatting>
  <conditionalFormatting sqref="E31:E35">
    <cfRule type="containsBlanks" dxfId="134" priority="22">
      <formula>LEN(TRIM(E31))=0</formula>
    </cfRule>
  </conditionalFormatting>
  <conditionalFormatting sqref="E36:E37">
    <cfRule type="containsBlanks" dxfId="133" priority="21">
      <formula>LEN(TRIM(E36))=0</formula>
    </cfRule>
  </conditionalFormatting>
  <conditionalFormatting sqref="E39">
    <cfRule type="containsBlanks" dxfId="132" priority="20">
      <formula>LEN(TRIM(E39))=0</formula>
    </cfRule>
  </conditionalFormatting>
  <conditionalFormatting sqref="E41:E46">
    <cfRule type="containsBlanks" dxfId="131" priority="19">
      <formula>LEN(TRIM(E41))=0</formula>
    </cfRule>
  </conditionalFormatting>
  <conditionalFormatting sqref="E47:E50">
    <cfRule type="containsBlanks" dxfId="130" priority="18">
      <formula>LEN(TRIM(E47))=0</formula>
    </cfRule>
  </conditionalFormatting>
  <conditionalFormatting sqref="E66:E68">
    <cfRule type="containsBlanks" dxfId="129" priority="14">
      <formula>LEN(TRIM(E66))=0</formula>
    </cfRule>
  </conditionalFormatting>
  <conditionalFormatting sqref="E71">
    <cfRule type="containsBlanks" dxfId="128" priority="13">
      <formula>LEN(TRIM(E71))=0</formula>
    </cfRule>
  </conditionalFormatting>
  <conditionalFormatting sqref="E61:E64">
    <cfRule type="containsBlanks" dxfId="127" priority="15">
      <formula>LEN(TRIM(E61))=0</formula>
    </cfRule>
  </conditionalFormatting>
  <conditionalFormatting sqref="E104">
    <cfRule type="containsBlanks" dxfId="126" priority="9">
      <formula>LEN(TRIM(E104))=0</formula>
    </cfRule>
  </conditionalFormatting>
  <conditionalFormatting sqref="E105:E106">
    <cfRule type="containsBlanks" dxfId="125" priority="8">
      <formula>LEN(TRIM(E105))=0</formula>
    </cfRule>
  </conditionalFormatting>
  <conditionalFormatting sqref="E72:E76 E78:E79">
    <cfRule type="containsBlanks" dxfId="124" priority="12">
      <formula>LEN(TRIM(E72))=0</formula>
    </cfRule>
  </conditionalFormatting>
  <conditionalFormatting sqref="E96:E102">
    <cfRule type="containsBlanks" dxfId="123" priority="10">
      <formula>LEN(TRIM(E96))=0</formula>
    </cfRule>
  </conditionalFormatting>
  <conditionalFormatting sqref="E19">
    <cfRule type="containsBlanks" dxfId="122" priority="7">
      <formula>LEN(TRIM(E19))=0</formula>
    </cfRule>
  </conditionalFormatting>
  <conditionalFormatting sqref="E20:E23">
    <cfRule type="containsBlanks" dxfId="121" priority="6">
      <formula>LEN(TRIM(E20))=0</formula>
    </cfRule>
  </conditionalFormatting>
  <conditionalFormatting sqref="C101">
    <cfRule type="containsBlanks" dxfId="120" priority="5">
      <formula>LEN(TRIM(C101))=0</formula>
    </cfRule>
  </conditionalFormatting>
  <conditionalFormatting sqref="C11">
    <cfRule type="containsBlanks" dxfId="119" priority="3">
      <formula>LEN(TRIM(C11))=0</formula>
    </cfRule>
  </conditionalFormatting>
  <conditionalFormatting sqref="C108">
    <cfRule type="containsBlanks" dxfId="118" priority="2">
      <formula>LEN(TRIM(C108))=0</formula>
    </cfRule>
  </conditionalFormatting>
  <conditionalFormatting sqref="E108">
    <cfRule type="containsBlanks" dxfId="117" priority="1">
      <formula>LEN(TRIM(E108))=0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&amp;L&amp;"Browallia New,ธรรมดา"&amp;12ข้อมูลพื้นฐาน (Common Data Set)&amp;R&amp;"Browallia New,ธรรมดา"&amp;12หน้าที่ 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tabSelected="1" topLeftCell="A10" zoomScale="85" zoomScaleNormal="85" workbookViewId="0">
      <selection activeCell="D16" sqref="D16"/>
    </sheetView>
  </sheetViews>
  <sheetFormatPr defaultColWidth="9" defaultRowHeight="14.25" x14ac:dyDescent="0.2"/>
  <cols>
    <col min="1" max="1" width="9" style="88"/>
    <col min="2" max="2" width="53.375" style="6" customWidth="1"/>
    <col min="3" max="3" width="29.75" style="6" customWidth="1"/>
    <col min="4" max="16384" width="9" style="6"/>
  </cols>
  <sheetData>
    <row r="1" spans="1:4" ht="37.5" customHeight="1" x14ac:dyDescent="0.2">
      <c r="A1" s="86" t="s">
        <v>171</v>
      </c>
      <c r="B1" s="87"/>
    </row>
    <row r="2" spans="1:4" ht="26.25" customHeight="1" x14ac:dyDescent="0.2">
      <c r="A2" s="130"/>
      <c r="B2" s="131" t="str">
        <f>"ชื่อหลักสูตร  "&amp;IF(INTRO!C2="","",INTRO!C2)</f>
        <v xml:space="preserve">ชื่อหลักสูตร  </v>
      </c>
      <c r="C2" s="132" t="str">
        <f>IF(INTRO!C7="","",INTRO!C7)</f>
        <v>เลือกหน่วยงาน</v>
      </c>
    </row>
    <row r="3" spans="1:4" ht="26.25" customHeight="1" x14ac:dyDescent="0.2">
      <c r="A3" s="130"/>
      <c r="B3" s="133"/>
      <c r="C3" s="134"/>
    </row>
    <row r="4" spans="1:4" ht="21.75" customHeight="1" thickBot="1" x14ac:dyDescent="0.25">
      <c r="A4" s="86" t="s">
        <v>213</v>
      </c>
      <c r="B4" s="87" t="s">
        <v>215</v>
      </c>
    </row>
    <row r="5" spans="1:4" ht="38.25" customHeight="1" x14ac:dyDescent="0.2">
      <c r="A5" s="135" t="s">
        <v>265</v>
      </c>
      <c r="B5" s="136" t="s">
        <v>216</v>
      </c>
      <c r="C5" s="137" t="s">
        <v>214</v>
      </c>
    </row>
    <row r="6" spans="1:4" ht="40.5" x14ac:dyDescent="0.2">
      <c r="A6" s="138">
        <v>1</v>
      </c>
      <c r="B6" s="27" t="s">
        <v>172</v>
      </c>
      <c r="C6" s="139" t="s">
        <v>47</v>
      </c>
    </row>
    <row r="7" spans="1:4" ht="40.5" x14ac:dyDescent="0.2">
      <c r="A7" s="138">
        <v>2</v>
      </c>
      <c r="B7" s="27" t="s">
        <v>173</v>
      </c>
      <c r="C7" s="139" t="s">
        <v>47</v>
      </c>
    </row>
    <row r="8" spans="1:4" ht="60.75" x14ac:dyDescent="0.2">
      <c r="A8" s="138">
        <v>3</v>
      </c>
      <c r="B8" s="27" t="s">
        <v>174</v>
      </c>
      <c r="C8" s="139" t="s">
        <v>47</v>
      </c>
    </row>
    <row r="9" spans="1:4" ht="60.75" x14ac:dyDescent="0.2">
      <c r="A9" s="138">
        <v>4</v>
      </c>
      <c r="B9" s="27" t="s">
        <v>175</v>
      </c>
      <c r="C9" s="139" t="s">
        <v>47</v>
      </c>
    </row>
    <row r="10" spans="1:4" ht="40.5" x14ac:dyDescent="0.2">
      <c r="A10" s="138">
        <v>5</v>
      </c>
      <c r="B10" s="27" t="s">
        <v>176</v>
      </c>
      <c r="C10" s="139" t="s">
        <v>47</v>
      </c>
    </row>
    <row r="11" spans="1:4" ht="60.75" x14ac:dyDescent="0.2">
      <c r="A11" s="138">
        <v>6</v>
      </c>
      <c r="B11" s="27" t="s">
        <v>177</v>
      </c>
      <c r="C11" s="139" t="s">
        <v>47</v>
      </c>
    </row>
    <row r="12" spans="1:4" ht="60.75" x14ac:dyDescent="0.2">
      <c r="A12" s="138">
        <v>7</v>
      </c>
      <c r="B12" s="27" t="s">
        <v>178</v>
      </c>
      <c r="C12" s="139" t="s">
        <v>47</v>
      </c>
    </row>
    <row r="13" spans="1:4" ht="40.5" x14ac:dyDescent="0.2">
      <c r="A13" s="138">
        <v>8</v>
      </c>
      <c r="B13" s="27" t="s">
        <v>179</v>
      </c>
      <c r="C13" s="139" t="s">
        <v>47</v>
      </c>
    </row>
    <row r="14" spans="1:4" ht="40.5" x14ac:dyDescent="0.2">
      <c r="A14" s="138">
        <v>9</v>
      </c>
      <c r="B14" s="27" t="s">
        <v>180</v>
      </c>
      <c r="C14" s="139" t="s">
        <v>47</v>
      </c>
    </row>
    <row r="15" spans="1:4" ht="40.5" x14ac:dyDescent="0.2">
      <c r="A15" s="138">
        <v>10</v>
      </c>
      <c r="B15" s="27" t="s">
        <v>181</v>
      </c>
      <c r="C15" s="139" t="s">
        <v>47</v>
      </c>
    </row>
    <row r="16" spans="1:4" ht="40.5" x14ac:dyDescent="0.2">
      <c r="A16" s="229">
        <v>11</v>
      </c>
      <c r="B16" s="230" t="s">
        <v>182</v>
      </c>
      <c r="C16" s="231" t="str">
        <f>IF(CDS!C108="","เลือกอัตโนมัติ",IF(CDS!C108&lt;3.5,"ไม่ผ่าน","ผ่าน"))</f>
        <v>เลือกอัตโนมัติ</v>
      </c>
      <c r="D16" s="391" t="s">
        <v>366</v>
      </c>
    </row>
    <row r="17" spans="1:4" ht="40.5" x14ac:dyDescent="0.2">
      <c r="A17" s="140">
        <v>12</v>
      </c>
      <c r="B17" s="26" t="s">
        <v>183</v>
      </c>
      <c r="C17" s="141" t="s">
        <v>47</v>
      </c>
    </row>
    <row r="18" spans="1:4" ht="54" customHeight="1" x14ac:dyDescent="0.2">
      <c r="A18" s="313" t="s">
        <v>184</v>
      </c>
      <c r="B18" s="314"/>
      <c r="C18" s="315" t="str">
        <f>IF(COUNTIF(C6:C17,"เลือก")+COUNTIF(C16,"เลือกอัตโนมัติ")=12,"",COUNTIF(C6:C17,"ผ่าน"))</f>
        <v/>
      </c>
    </row>
    <row r="19" spans="1:4" ht="45.75" customHeight="1" x14ac:dyDescent="0.2">
      <c r="A19" s="313" t="str">
        <f>"ข้อที่มีผลการดำเนินงาน ผ่านเกณฑ์  ข้อ
 "&amp;IF(C6="ผ่าน","1,","")&amp;IF(C7="ผ่าน","2,","")&amp;IF(C8="ผ่าน","3,","")&amp;IF(C9="ผ่าน","4,","")&amp;IF(C10="ผ่าน","5,","")&amp;IF(C11="ผ่าน","6,","")&amp;IF(C12="ผ่าน","7,","")&amp;IF(C13="ผ่าน","8,","")&amp;IF(C14="ผ่าน","9,","")&amp;IF(C15="ผ่าน","10,","")&amp;IF(C16="ผ่าน","11,","")&amp;IF(C17="ผ่าน","12","")</f>
        <v xml:space="preserve">ข้อที่มีผลการดำเนินงาน ผ่านเกณฑ์  ข้อ
 </v>
      </c>
      <c r="B19" s="314"/>
      <c r="C19" s="315"/>
    </row>
    <row r="20" spans="1:4" ht="31.5" customHeight="1" x14ac:dyDescent="0.2">
      <c r="A20" s="316" t="s">
        <v>199</v>
      </c>
      <c r="B20" s="317"/>
      <c r="C20" s="152" t="str">
        <f>IF(COUNTIF(C6:C17,"เลือก")+COUNTIF(C16,"เลือกอัตโนมัติ")=12,"",COUNT(A6:A17)-COUNTIF(C6:C17,"ยกเว้น"))</f>
        <v/>
      </c>
      <c r="D20"/>
    </row>
    <row r="21" spans="1:4" ht="27.75" customHeight="1" thickBot="1" x14ac:dyDescent="0.25">
      <c r="A21" s="318" t="s">
        <v>223</v>
      </c>
      <c r="B21" s="319" t="s">
        <v>222</v>
      </c>
      <c r="C21" s="151" t="str">
        <f>IF(AND(C18="",C20=""),"",IF(ISERROR(C18*100/C20),,C18*100/C20))</f>
        <v/>
      </c>
      <c r="D21"/>
    </row>
    <row r="22" spans="1:4" ht="28.5" customHeight="1" x14ac:dyDescent="0.2">
      <c r="D22"/>
    </row>
    <row r="23" spans="1:4" x14ac:dyDescent="0.2">
      <c r="D23"/>
    </row>
    <row r="24" spans="1:4" x14ac:dyDescent="0.2">
      <c r="D24"/>
    </row>
    <row r="25" spans="1:4" x14ac:dyDescent="0.2">
      <c r="D25"/>
    </row>
    <row r="26" spans="1:4" x14ac:dyDescent="0.2">
      <c r="D26"/>
    </row>
    <row r="27" spans="1:4" x14ac:dyDescent="0.2">
      <c r="D27"/>
    </row>
    <row r="28" spans="1:4" x14ac:dyDescent="0.2">
      <c r="D28"/>
    </row>
    <row r="29" spans="1:4" x14ac:dyDescent="0.2">
      <c r="D29"/>
    </row>
    <row r="30" spans="1:4" x14ac:dyDescent="0.2">
      <c r="D30"/>
    </row>
    <row r="31" spans="1:4" x14ac:dyDescent="0.2">
      <c r="D31"/>
    </row>
    <row r="32" spans="1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</sheetData>
  <sheetProtection algorithmName="SHA-512" hashValue="6RnXMQ6xz/qkVQXUt3gGA7x9IiDkiyul8vEEUFbhBk83qcLZdgAykR26jzG2REWe5XA9JM+g+Swb+wWNnAofSQ==" saltValue="W3qD6EwCx292bqhkuwzUMg==" spinCount="100000" sheet="1" objects="1" scenarios="1"/>
  <mergeCells count="5">
    <mergeCell ref="A18:B18"/>
    <mergeCell ref="C18:C19"/>
    <mergeCell ref="A19:B19"/>
    <mergeCell ref="A20:B20"/>
    <mergeCell ref="A21:B21"/>
  </mergeCells>
  <conditionalFormatting sqref="C6:C17">
    <cfRule type="cellIs" dxfId="116" priority="18" operator="equal">
      <formula>"เลือก"</formula>
    </cfRule>
    <cfRule type="cellIs" dxfId="115" priority="19" operator="equal">
      <formula>"ไม่ผ่าน"</formula>
    </cfRule>
    <cfRule type="cellIs" dxfId="114" priority="20" operator="equal">
      <formula>"ผ่าน"</formula>
    </cfRule>
  </conditionalFormatting>
  <conditionalFormatting sqref="A18 C18">
    <cfRule type="cellIs" dxfId="113" priority="15" operator="equal">
      <formula>"เลือก"</formula>
    </cfRule>
    <cfRule type="cellIs" dxfId="112" priority="16" operator="equal">
      <formula>"ไม่ผ่าน"</formula>
    </cfRule>
    <cfRule type="cellIs" dxfId="111" priority="17" operator="equal">
      <formula>"ผ่าน"</formula>
    </cfRule>
  </conditionalFormatting>
  <conditionalFormatting sqref="A19">
    <cfRule type="cellIs" dxfId="110" priority="12" operator="equal">
      <formula>"เลือก"</formula>
    </cfRule>
    <cfRule type="cellIs" dxfId="109" priority="13" operator="equal">
      <formula>"ไม่ผ่าน"</formula>
    </cfRule>
    <cfRule type="cellIs" dxfId="108" priority="14" operator="equal">
      <formula>"ผ่าน"</formula>
    </cfRule>
  </conditionalFormatting>
  <conditionalFormatting sqref="C18:C19">
    <cfRule type="containsBlanks" dxfId="107" priority="22">
      <formula>LEN(TRIM(C18))=0</formula>
    </cfRule>
  </conditionalFormatting>
  <conditionalFormatting sqref="C6:C17">
    <cfRule type="cellIs" dxfId="106" priority="9" operator="equal">
      <formula>"ยกเว้น"</formula>
    </cfRule>
  </conditionalFormatting>
  <conditionalFormatting sqref="C20">
    <cfRule type="cellIs" dxfId="105" priority="5" operator="equal">
      <formula>"เลือก"</formula>
    </cfRule>
    <cfRule type="cellIs" dxfId="104" priority="6" operator="equal">
      <formula>"ไม่ผ่าน"</formula>
    </cfRule>
    <cfRule type="cellIs" dxfId="103" priority="7" operator="equal">
      <formula>"ผ่าน"</formula>
    </cfRule>
  </conditionalFormatting>
  <conditionalFormatting sqref="C20">
    <cfRule type="containsBlanks" dxfId="102" priority="8">
      <formula>LEN(TRIM(C20))=0</formula>
    </cfRule>
  </conditionalFormatting>
  <conditionalFormatting sqref="C21">
    <cfRule type="cellIs" dxfId="101" priority="1" operator="equal">
      <formula>"เลือก"</formula>
    </cfRule>
    <cfRule type="cellIs" dxfId="100" priority="2" operator="equal">
      <formula>"ไม่ผ่าน"</formula>
    </cfRule>
    <cfRule type="cellIs" dxfId="99" priority="3" operator="equal">
      <formula>"ผ่าน"</formula>
    </cfRule>
  </conditionalFormatting>
  <conditionalFormatting sqref="C21">
    <cfRule type="containsBlanks" dxfId="98" priority="4">
      <formula>LEN(TRIM(C21))=0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&amp;R&amp;G</oddHeader>
    <oddFooter>&amp;L&amp;"Browallia New,ธรรมดา"&amp;12ผลการดำเนินงานหลักสูตรตามกรอบมาตรฐานคุณวุฒิระดับอุดมศึกษาแห่งชาติ&amp;R&amp;"Browallia New,ธรรมดา"&amp;12หน้า &amp;P/&amp;N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C6:C15 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="85" zoomScaleNormal="85" workbookViewId="0">
      <pane ySplit="5" topLeftCell="A6" activePane="bottomLeft" state="frozen"/>
      <selection activeCell="J12" sqref="J12"/>
      <selection pane="bottomLeft" activeCell="B9" sqref="B9"/>
    </sheetView>
  </sheetViews>
  <sheetFormatPr defaultColWidth="9" defaultRowHeight="18.75" x14ac:dyDescent="0.3"/>
  <cols>
    <col min="1" max="1" width="33.625" style="3" customWidth="1"/>
    <col min="2" max="2" width="43.375" style="3" bestFit="1" customWidth="1"/>
    <col min="3" max="3" width="13.625" style="1" customWidth="1"/>
    <col min="4" max="4" width="26.75" style="1" customWidth="1"/>
    <col min="5" max="16384" width="9" style="1"/>
  </cols>
  <sheetData>
    <row r="1" spans="1:7" ht="30" customHeight="1" x14ac:dyDescent="0.3">
      <c r="A1" s="320" t="str">
        <f>"ชื่อหลักสูตร  "&amp;IF(INTRO!C2="","",INTRO!C2)</f>
        <v xml:space="preserve">ชื่อหลักสูตร  </v>
      </c>
      <c r="B1" s="320"/>
      <c r="C1" s="320" t="str">
        <f>IF(INTRO!C7="","",INTRO!C7)</f>
        <v>เลือกหน่วยงาน</v>
      </c>
      <c r="D1" s="320"/>
    </row>
    <row r="2" spans="1:7" ht="30" customHeight="1" x14ac:dyDescent="0.3">
      <c r="A2" s="337" t="s">
        <v>217</v>
      </c>
      <c r="B2" s="337"/>
      <c r="C2" s="337"/>
      <c r="D2" s="337"/>
    </row>
    <row r="3" spans="1:7" ht="30" customHeight="1" thickBot="1" x14ac:dyDescent="0.35">
      <c r="A3" s="338" t="s">
        <v>218</v>
      </c>
      <c r="B3" s="338"/>
      <c r="C3" s="338"/>
      <c r="D3" s="338"/>
    </row>
    <row r="4" spans="1:7" ht="37.5" customHeight="1" x14ac:dyDescent="0.3">
      <c r="A4" s="322" t="s">
        <v>0</v>
      </c>
      <c r="B4" s="323"/>
      <c r="C4" s="100" t="s">
        <v>3</v>
      </c>
      <c r="D4" s="326" t="s">
        <v>318</v>
      </c>
    </row>
    <row r="5" spans="1:7" ht="21" x14ac:dyDescent="0.3">
      <c r="A5" s="324"/>
      <c r="B5" s="325"/>
      <c r="C5" s="101" t="s">
        <v>43</v>
      </c>
      <c r="D5" s="327"/>
    </row>
    <row r="6" spans="1:7" ht="21" x14ac:dyDescent="0.3">
      <c r="A6" s="321" t="s">
        <v>7</v>
      </c>
      <c r="B6" s="294"/>
      <c r="C6" s="294"/>
      <c r="D6" s="294"/>
    </row>
    <row r="7" spans="1:7" s="2" customFormat="1" ht="21" customHeight="1" thickBot="1" x14ac:dyDescent="0.25">
      <c r="A7" s="332" t="s">
        <v>19</v>
      </c>
      <c r="B7" s="333"/>
      <c r="C7" s="333"/>
      <c r="D7" s="334"/>
    </row>
    <row r="8" spans="1:7" s="2" customFormat="1" ht="21" x14ac:dyDescent="0.2">
      <c r="A8" s="216" t="s">
        <v>338</v>
      </c>
      <c r="B8" s="217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8" s="218" t="s">
        <v>44</v>
      </c>
      <c r="D8" s="214"/>
    </row>
    <row r="9" spans="1:7" s="2" customFormat="1" ht="21" x14ac:dyDescent="0.2">
      <c r="A9" s="44" t="s">
        <v>339</v>
      </c>
      <c r="B9" s="25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9" s="139" t="s">
        <v>44</v>
      </c>
      <c r="D9" s="215"/>
    </row>
    <row r="10" spans="1:7" s="2" customFormat="1" ht="21" x14ac:dyDescent="0.2">
      <c r="A10" s="44" t="s">
        <v>340</v>
      </c>
      <c r="B10" s="25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139" t="s">
        <v>44</v>
      </c>
      <c r="D10" s="215"/>
    </row>
    <row r="11" spans="1:7" s="2" customFormat="1" ht="40.5" x14ac:dyDescent="0.2">
      <c r="A11" s="45" t="s">
        <v>42</v>
      </c>
      <c r="B11" s="25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139" t="s">
        <v>44</v>
      </c>
      <c r="D11" s="215"/>
    </row>
    <row r="12" spans="1:7" s="2" customFormat="1" ht="40.5" x14ac:dyDescent="0.2">
      <c r="A12" s="45" t="s">
        <v>194</v>
      </c>
      <c r="B12" s="25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139" t="s">
        <v>44</v>
      </c>
      <c r="D12" s="215"/>
    </row>
    <row r="13" spans="1:7" s="2" customFormat="1" ht="40.5" x14ac:dyDescent="0.2">
      <c r="A13" s="45" t="s">
        <v>15</v>
      </c>
      <c r="B13" s="25" t="str">
        <f>IF(INTRO!$D$1=info!B45,info!C45,IF(INTRO!$D$1=info!B46,info!C46,IF(INTRO!$D$1=info!B47,info!C47,"ยังไม่ได้เลือกระดับการประเมินหลักสูตร")))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139" t="s">
        <v>44</v>
      </c>
      <c r="D13" s="215"/>
    </row>
    <row r="14" spans="1:7" s="2" customFormat="1" ht="21" x14ac:dyDescent="0.2">
      <c r="A14" s="44" t="s">
        <v>16</v>
      </c>
      <c r="B14" s="25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139" t="s">
        <v>44</v>
      </c>
      <c r="D14" s="215"/>
    </row>
    <row r="15" spans="1:7" s="2" customFormat="1" ht="40.5" x14ac:dyDescent="0.2">
      <c r="A15" s="44" t="s">
        <v>17</v>
      </c>
      <c r="B15" s="25" t="str">
        <f>IF(INTRO!$D$1=info!$B$51,info!$C$51,IF(INTRO!$D$1=info!$B$52,info!$C$52,IF(INTRO!$D$1=info!$B$53,info!$C$53,"ยังไม่ได้เลือกระดับการประเมินหลักสูตร")))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139" t="s">
        <v>44</v>
      </c>
      <c r="D15" s="215"/>
      <c r="E15"/>
      <c r="F15"/>
      <c r="G15"/>
    </row>
    <row r="16" spans="1:7" s="2" customFormat="1" ht="40.5" x14ac:dyDescent="0.2">
      <c r="A16" s="44" t="s">
        <v>18</v>
      </c>
      <c r="B16" s="25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6" s="139" t="s">
        <v>44</v>
      </c>
      <c r="D16" s="215"/>
    </row>
    <row r="17" spans="1:4" s="2" customFormat="1" ht="40.5" x14ac:dyDescent="0.2">
      <c r="A17" s="44" t="s">
        <v>337</v>
      </c>
      <c r="B17" s="25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7" s="139" t="s">
        <v>44</v>
      </c>
      <c r="D17" s="215"/>
    </row>
    <row r="18" spans="1:4" ht="39" customHeight="1" x14ac:dyDescent="0.3">
      <c r="A18" s="328" t="s">
        <v>46</v>
      </c>
      <c r="B18" s="329"/>
      <c r="C18" s="219" t="str">
        <f>IF(COUNTIF(C8:C17,"เลือก")=10,"",IF(COUNTIFS(B8:B17,"&lt;&gt;ไม่ประเมินในเกณฑ์นี้",C8:C17,"ผ่าน")+COUNTIFS(B8:B17,"&lt;&gt;ไม่ประเมินในเกณฑ์นี้",C8:C17,"ยกเว้น")&lt;info!H2,"ไม่ผ่าน","ผ่าน"))</f>
        <v>ผ่าน</v>
      </c>
      <c r="D18" s="335"/>
    </row>
    <row r="19" spans="1:4" ht="38.25" customHeight="1" thickBot="1" x14ac:dyDescent="0.35">
      <c r="A19" s="330" t="str">
        <f>IF(COUNTIF(C7:C17,"เลือก")=10,"","จำนวนข้อที่ผ่านเกณฑ์("&amp;IF(AND(C7="ผ่าน",B7&lt;&gt;"ไม่ประเมินในเกณฑ์นี้"),"1,","")&amp;IF(AND(C8="ผ่าน",B8&lt;&gt;"ไม่ประเมินในเกณฑ์นี้"),"1,","")&amp;IF(AND(C9="ผ่าน",B9&lt;&gt;"ไม่ประเมินในเกณฑ์นี้"),"2,","")&amp;IF(AND(C10="ผ่าน",B10&lt;&gt;"ไม่ประเมินในเกณฑ์นี้"),"3,","")&amp;IF(AND(C11="ผ่าน",B11&lt;&gt;"ไม่ประเมินในเกณฑ์นี้"),"4,","")&amp;IF(AND(C12="ผ่าน",B12&lt;&gt;"ไม่ประเมินในเกณฑ์นี้"),"6,","")&amp;IF(AND(C13="ผ่าน",B13&lt;&gt;"ไม่ประเมินในเกณฑ์นี้"),"7,","")&amp;IF(AND(C14="ผ่าน",B14&lt;&gt;"ไม่ประเมินในเกณฑ์นี้"),"8,","")&amp;IF(AND(C15="ผ่าน",B15&lt;&gt;"ไม่ประเมินในเกณฑ์นี้"),"9,","")&amp;IF(AND(C16="ผ่าน",B16&lt;&gt;"ไม่ประเมินในเกณฑ์นี้"),"10,","")&amp;IF(AND(C17="ผ่าน",B17&lt;&gt;"ไม่ประเมินในเกณฑ์นี้"),"10","")&amp;" )")</f>
        <v>จำนวนข้อที่ผ่านเกณฑ์(1,2,3,4,6,7,8,9,10,10 )</v>
      </c>
      <c r="B19" s="331"/>
      <c r="C19" s="220">
        <f>IF(COUNTIF(C8:C17,"เลือก")=11,"",COUNTIFS(B8:B17,"&lt;&gt;ไม่ประเมินในเกณฑ์นี้",C8:C17,"ผ่าน"))</f>
        <v>10</v>
      </c>
      <c r="D19" s="336"/>
    </row>
  </sheetData>
  <sheetProtection algorithmName="SHA-512" hashValue="B2hhxituutxTTawWZOqFyYGXcNxUh1TD09vb9z/nD0TdSzccVf7zHgyvA6DQyuTkmu2vMngPa3ZKKKE0QeBeow==" saltValue="ayA7z0jAM4HLhCFGMNF/QA==" spinCount="100000" sheet="1" objects="1" scenarios="1"/>
  <mergeCells count="11">
    <mergeCell ref="A18:B18"/>
    <mergeCell ref="A19:B19"/>
    <mergeCell ref="A7:D7"/>
    <mergeCell ref="D18:D19"/>
    <mergeCell ref="A2:D2"/>
    <mergeCell ref="A3:D3"/>
    <mergeCell ref="A1:B1"/>
    <mergeCell ref="C1:D1"/>
    <mergeCell ref="A6:D6"/>
    <mergeCell ref="A4:B5"/>
    <mergeCell ref="D4:D5"/>
  </mergeCells>
  <conditionalFormatting sqref="D8:D17">
    <cfRule type="containsBlanks" dxfId="97" priority="26">
      <formula>LEN(TRIM(D8))=0</formula>
    </cfRule>
  </conditionalFormatting>
  <conditionalFormatting sqref="C8:C18">
    <cfRule type="cellIs" dxfId="96" priority="19" operator="equal">
      <formula>"เลือก"</formula>
    </cfRule>
    <cfRule type="cellIs" dxfId="95" priority="20" operator="equal">
      <formula>"ไม่ผ่าน"</formula>
    </cfRule>
    <cfRule type="cellIs" dxfId="94" priority="21" operator="equal">
      <formula>"ผ่าน"</formula>
    </cfRule>
  </conditionalFormatting>
  <conditionalFormatting sqref="C18:C19">
    <cfRule type="containsBlanks" dxfId="93" priority="17">
      <formula>LEN(TRIM(C18))=0</formula>
    </cfRule>
  </conditionalFormatting>
  <conditionalFormatting sqref="B10 B16:B17">
    <cfRule type="cellIs" dxfId="92" priority="16" operator="equal">
      <formula>"ยังไม่ได้เลือกระดับการประเมินหลักสูตร"</formula>
    </cfRule>
  </conditionalFormatting>
  <conditionalFormatting sqref="B8:B9">
    <cfRule type="cellIs" dxfId="91" priority="14" operator="equal">
      <formula>"ยังไม่ได้เลือกระดับการประเมินหลักสูตร"</formula>
    </cfRule>
  </conditionalFormatting>
  <conditionalFormatting sqref="B11:B15">
    <cfRule type="cellIs" dxfId="90" priority="12" operator="equal">
      <formula>"ยังไม่ได้เลือกระดับการประเมินหลักสูตร"</formula>
    </cfRule>
  </conditionalFormatting>
  <conditionalFormatting sqref="B15">
    <cfRule type="cellIs" dxfId="89" priority="8" operator="equal">
      <formula>"ยังไม่ได้เลือกระดับการประเมินหลักสูตร หรือ แผนการเรียน"</formula>
    </cfRule>
  </conditionalFormatting>
  <conditionalFormatting sqref="C8:C17">
    <cfRule type="cellIs" dxfId="88" priority="1" operator="equal">
      <formula>"ยกเว้น"</formula>
    </cfRule>
  </conditionalFormatting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&amp;R&amp;G</oddHeader>
    <oddFooter>&amp;L&amp;"Browallia New,ธรรมดา"&amp;12ผลการประเมินตัวบ่งชี้ 1.1&amp;R&amp;"Browallia New,ธรรมดา"&amp;12หน้าที่ &amp;P/&amp;N</oddFooter>
  </headerFooter>
  <cellWatches>
    <cellWatch r="D8"/>
  </cellWatche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equal" id="{7383E145-9BFD-4950-BE4F-653A633847A0}">
            <xm:f>info!$C$29</xm:f>
            <x14:dxf>
              <font>
                <b/>
                <i val="0"/>
                <color rgb="FFFF0000"/>
              </font>
            </x14:dxf>
          </x14:cfRule>
          <xm:sqref>B10 B16:B17</xm:sqref>
        </x14:conditionalFormatting>
        <x14:conditionalFormatting xmlns:xm="http://schemas.microsoft.com/office/excel/2006/main">
          <x14:cfRule type="cellIs" priority="13" operator="equal" id="{2CA1504E-9DD2-4DE0-9C08-A68BC44E7B64}">
            <xm:f>info!$C$29</xm:f>
            <x14:dxf>
              <font>
                <b/>
                <i val="0"/>
                <color rgb="FFFF0000"/>
              </font>
            </x14:dxf>
          </x14:cfRule>
          <xm:sqref>B8:B9</xm:sqref>
        </x14:conditionalFormatting>
        <x14:conditionalFormatting xmlns:xm="http://schemas.microsoft.com/office/excel/2006/main">
          <x14:cfRule type="cellIs" priority="11" operator="equal" id="{F62304D9-180F-41E3-AEA5-11985C9C689D}">
            <xm:f>info!$C$29</xm:f>
            <x14:dxf>
              <font>
                <b/>
                <i val="0"/>
                <color rgb="FFFF0000"/>
              </font>
            </x14:dxf>
          </x14:cfRule>
          <xm:sqref>B11:B15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C8:C17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zoomScale="115" zoomScaleNormal="115" workbookViewId="0">
      <selection activeCell="H2" sqref="H2"/>
    </sheetView>
  </sheetViews>
  <sheetFormatPr defaultColWidth="9" defaultRowHeight="14.25" x14ac:dyDescent="0.2"/>
  <cols>
    <col min="1" max="1" width="8.125" style="258" customWidth="1"/>
    <col min="2" max="2" width="10.25" style="258" customWidth="1"/>
    <col min="3" max="3" width="14.25" style="258" customWidth="1"/>
    <col min="4" max="5" width="9" style="258"/>
    <col min="6" max="6" width="20.75" style="258" customWidth="1"/>
    <col min="7" max="13" width="9" style="258"/>
    <col min="14" max="14" width="33.375" style="258" customWidth="1"/>
    <col min="15" max="16384" width="9" style="258"/>
  </cols>
  <sheetData>
    <row r="1" spans="1:14" x14ac:dyDescent="0.2">
      <c r="H1" s="259" t="str">
        <f>IF(INTRO!$D$1=info!C9,"",IF(INTRO!$D$1=info!C10,"A",IF(INTRO!$D$1=info!C11,"B",IF(INTRO!$D$1=info!C12,"C","D"))))</f>
        <v/>
      </c>
      <c r="I1" s="258">
        <f>IF(COUNTIF(KPI1.1!C8:C17,"เลือก")=11,"",COUNTIFS(KPI1.1!B8:B17,"&lt;&gt;ไม่ประเมินในเกณฑ์นี้",KPI1.1!C8:C17,"ผ่าน"))</f>
        <v>10</v>
      </c>
    </row>
    <row r="2" spans="1:14" x14ac:dyDescent="0.2">
      <c r="A2" s="258" t="s">
        <v>23</v>
      </c>
      <c r="B2" s="258" t="s">
        <v>25</v>
      </c>
      <c r="E2" s="258" t="s">
        <v>23</v>
      </c>
      <c r="F2" s="258" t="s">
        <v>33</v>
      </c>
      <c r="H2" s="258">
        <f>10-COUNTIF(KPI1.1!B8:B17,"ไม่ประเมินในเกณฑ์นี้")</f>
        <v>10</v>
      </c>
    </row>
    <row r="3" spans="1:14" x14ac:dyDescent="0.2">
      <c r="A3" s="260">
        <v>1</v>
      </c>
      <c r="B3" s="260" t="s">
        <v>27</v>
      </c>
      <c r="C3" s="260" t="s">
        <v>28</v>
      </c>
      <c r="E3" s="260">
        <v>1</v>
      </c>
      <c r="F3" s="260" t="s">
        <v>22</v>
      </c>
      <c r="N3" s="258" t="s">
        <v>333</v>
      </c>
    </row>
    <row r="4" spans="1:14" x14ac:dyDescent="0.2">
      <c r="A4" s="260">
        <v>2</v>
      </c>
      <c r="B4" s="260" t="s">
        <v>169</v>
      </c>
      <c r="C4" s="260" t="s">
        <v>26</v>
      </c>
      <c r="E4" s="260">
        <v>2</v>
      </c>
      <c r="F4" s="260"/>
      <c r="N4" s="258" t="s">
        <v>334</v>
      </c>
    </row>
    <row r="5" spans="1:14" x14ac:dyDescent="0.2">
      <c r="A5" s="260">
        <v>3</v>
      </c>
      <c r="B5" s="260" t="s">
        <v>170</v>
      </c>
      <c r="C5" s="260" t="s">
        <v>29</v>
      </c>
      <c r="E5" s="260"/>
      <c r="F5" s="260" t="s">
        <v>47</v>
      </c>
      <c r="N5" s="258" t="s">
        <v>335</v>
      </c>
    </row>
    <row r="6" spans="1:14" x14ac:dyDescent="0.2">
      <c r="A6" s="260">
        <v>4</v>
      </c>
      <c r="B6" s="260" t="s">
        <v>30</v>
      </c>
      <c r="C6" s="260" t="s">
        <v>31</v>
      </c>
      <c r="E6" s="260"/>
      <c r="F6" s="260" t="s">
        <v>44</v>
      </c>
      <c r="N6" s="258" t="s">
        <v>336</v>
      </c>
    </row>
    <row r="7" spans="1:14" x14ac:dyDescent="0.2">
      <c r="A7" s="260">
        <v>5</v>
      </c>
      <c r="B7" s="260" t="s">
        <v>47</v>
      </c>
      <c r="C7" s="260" t="s">
        <v>47</v>
      </c>
      <c r="E7" s="260"/>
      <c r="F7" s="260" t="s">
        <v>45</v>
      </c>
    </row>
    <row r="8" spans="1:14" x14ac:dyDescent="0.2">
      <c r="F8" s="260" t="s">
        <v>198</v>
      </c>
    </row>
    <row r="9" spans="1:14" x14ac:dyDescent="0.2">
      <c r="A9" s="258" t="s">
        <v>35</v>
      </c>
      <c r="C9" s="260" t="s">
        <v>79</v>
      </c>
      <c r="E9" s="258" t="s">
        <v>47</v>
      </c>
      <c r="F9" s="263" t="s">
        <v>328</v>
      </c>
    </row>
    <row r="10" spans="1:14" x14ac:dyDescent="0.2">
      <c r="C10" s="260" t="s">
        <v>38</v>
      </c>
      <c r="E10" s="258" t="s">
        <v>105</v>
      </c>
      <c r="F10" s="263" t="s">
        <v>130</v>
      </c>
    </row>
    <row r="11" spans="1:14" x14ac:dyDescent="0.2">
      <c r="C11" s="260" t="s">
        <v>39</v>
      </c>
      <c r="E11" s="258" t="s">
        <v>34</v>
      </c>
      <c r="F11" s="263" t="s">
        <v>40</v>
      </c>
    </row>
    <row r="12" spans="1:14" x14ac:dyDescent="0.2">
      <c r="C12" s="260" t="s">
        <v>37</v>
      </c>
      <c r="F12" s="263" t="s">
        <v>329</v>
      </c>
    </row>
    <row r="13" spans="1:14" x14ac:dyDescent="0.2">
      <c r="C13" s="260" t="s">
        <v>47</v>
      </c>
      <c r="F13" s="264" t="s">
        <v>47</v>
      </c>
    </row>
    <row r="14" spans="1:14" x14ac:dyDescent="0.2">
      <c r="F14" s="258" t="s">
        <v>47</v>
      </c>
      <c r="G14" s="258" t="s">
        <v>47</v>
      </c>
    </row>
    <row r="15" spans="1:14" x14ac:dyDescent="0.2">
      <c r="C15" s="261" t="s">
        <v>75</v>
      </c>
      <c r="F15" s="258" t="s">
        <v>124</v>
      </c>
      <c r="G15" s="258">
        <v>0</v>
      </c>
    </row>
    <row r="16" spans="1:14" x14ac:dyDescent="0.2">
      <c r="C16" s="261" t="s">
        <v>76</v>
      </c>
      <c r="F16" s="258" t="s">
        <v>125</v>
      </c>
      <c r="G16" s="258">
        <v>1</v>
      </c>
    </row>
    <row r="17" spans="1:7" x14ac:dyDescent="0.2">
      <c r="C17" s="261" t="s">
        <v>77</v>
      </c>
      <c r="F17" s="258" t="s">
        <v>126</v>
      </c>
      <c r="G17" s="258">
        <v>2</v>
      </c>
    </row>
    <row r="18" spans="1:7" x14ac:dyDescent="0.2">
      <c r="C18" s="261" t="s">
        <v>78</v>
      </c>
      <c r="F18" s="258" t="s">
        <v>127</v>
      </c>
      <c r="G18" s="258">
        <v>3</v>
      </c>
    </row>
    <row r="19" spans="1:7" x14ac:dyDescent="0.2">
      <c r="F19" s="258" t="s">
        <v>128</v>
      </c>
      <c r="G19" s="258">
        <v>4</v>
      </c>
    </row>
    <row r="20" spans="1:7" x14ac:dyDescent="0.2">
      <c r="F20" s="258" t="s">
        <v>129</v>
      </c>
      <c r="G20" s="258">
        <v>5</v>
      </c>
    </row>
    <row r="22" spans="1:7" x14ac:dyDescent="0.2">
      <c r="C22" s="258" t="s">
        <v>185</v>
      </c>
    </row>
    <row r="23" spans="1:7" x14ac:dyDescent="0.2">
      <c r="C23" s="258" t="s">
        <v>186</v>
      </c>
    </row>
    <row r="24" spans="1:7" x14ac:dyDescent="0.2">
      <c r="C24" s="258" t="s">
        <v>47</v>
      </c>
    </row>
    <row r="28" spans="1:7" x14ac:dyDescent="0.2">
      <c r="C28" s="258" t="s">
        <v>191</v>
      </c>
    </row>
    <row r="29" spans="1:7" x14ac:dyDescent="0.2">
      <c r="C29" s="258" t="s">
        <v>83</v>
      </c>
    </row>
    <row r="30" spans="1:7" x14ac:dyDescent="0.2">
      <c r="A30" s="258">
        <v>1.1000000000000001</v>
      </c>
      <c r="B30" s="260" t="s">
        <v>38</v>
      </c>
      <c r="C30" s="258" t="s">
        <v>341</v>
      </c>
    </row>
    <row r="31" spans="1:7" x14ac:dyDescent="0.2">
      <c r="B31" s="260" t="s">
        <v>39</v>
      </c>
      <c r="C31" s="258" t="s">
        <v>341</v>
      </c>
    </row>
    <row r="32" spans="1:7" x14ac:dyDescent="0.2">
      <c r="B32" s="260" t="s">
        <v>37</v>
      </c>
      <c r="C32" s="258" t="s">
        <v>342</v>
      </c>
    </row>
    <row r="33" spans="1:3" x14ac:dyDescent="0.2">
      <c r="A33" s="258">
        <v>1.2</v>
      </c>
      <c r="B33" s="260" t="s">
        <v>38</v>
      </c>
      <c r="C33" s="258" t="s">
        <v>345</v>
      </c>
    </row>
    <row r="34" spans="1:3" x14ac:dyDescent="0.2">
      <c r="B34" s="260" t="s">
        <v>39</v>
      </c>
      <c r="C34" s="258" t="s">
        <v>346</v>
      </c>
    </row>
    <row r="35" spans="1:3" x14ac:dyDescent="0.2">
      <c r="B35" s="260" t="s">
        <v>37</v>
      </c>
      <c r="C35" s="258" t="s">
        <v>347</v>
      </c>
    </row>
    <row r="36" spans="1:3" x14ac:dyDescent="0.2">
      <c r="A36" s="258">
        <v>1.3</v>
      </c>
      <c r="B36" s="260" t="s">
        <v>38</v>
      </c>
      <c r="C36" s="258" t="s">
        <v>348</v>
      </c>
    </row>
    <row r="37" spans="1:3" x14ac:dyDescent="0.2">
      <c r="B37" s="260" t="s">
        <v>39</v>
      </c>
      <c r="C37" s="258" t="s">
        <v>349</v>
      </c>
    </row>
    <row r="38" spans="1:3" x14ac:dyDescent="0.2">
      <c r="B38" s="260" t="s">
        <v>37</v>
      </c>
      <c r="C38" s="258" t="s">
        <v>350</v>
      </c>
    </row>
    <row r="39" spans="1:3" x14ac:dyDescent="0.2">
      <c r="A39" s="258">
        <v>1.4</v>
      </c>
      <c r="B39" s="260" t="s">
        <v>38</v>
      </c>
      <c r="C39" s="258" t="s">
        <v>343</v>
      </c>
    </row>
    <row r="40" spans="1:3" x14ac:dyDescent="0.2">
      <c r="B40" s="260" t="s">
        <v>39</v>
      </c>
      <c r="C40" s="258" t="s">
        <v>344</v>
      </c>
    </row>
    <row r="41" spans="1:3" x14ac:dyDescent="0.2">
      <c r="B41" s="260" t="s">
        <v>37</v>
      </c>
      <c r="C41" s="258" t="s">
        <v>351</v>
      </c>
    </row>
    <row r="42" spans="1:3" x14ac:dyDescent="0.2">
      <c r="A42" s="258">
        <v>1.5</v>
      </c>
      <c r="B42" s="260" t="s">
        <v>38</v>
      </c>
      <c r="C42" s="258" t="s">
        <v>353</v>
      </c>
    </row>
    <row r="43" spans="1:3" x14ac:dyDescent="0.2">
      <c r="B43" s="260" t="s">
        <v>39</v>
      </c>
      <c r="C43" s="258" t="s">
        <v>352</v>
      </c>
    </row>
    <row r="44" spans="1:3" x14ac:dyDescent="0.2">
      <c r="B44" s="260" t="s">
        <v>37</v>
      </c>
      <c r="C44" s="258" t="str">
        <f>C29</f>
        <v>ไม่ประเมินในเกณฑ์นี้</v>
      </c>
    </row>
    <row r="45" spans="1:3" x14ac:dyDescent="0.2">
      <c r="A45" s="258">
        <v>1.6</v>
      </c>
      <c r="B45" s="260" t="s">
        <v>38</v>
      </c>
      <c r="C45" s="258" t="s">
        <v>354</v>
      </c>
    </row>
    <row r="46" spans="1:3" x14ac:dyDescent="0.2">
      <c r="B46" s="260" t="s">
        <v>39</v>
      </c>
      <c r="C46" s="258" t="s">
        <v>355</v>
      </c>
    </row>
    <row r="47" spans="1:3" x14ac:dyDescent="0.2">
      <c r="B47" s="260" t="s">
        <v>37</v>
      </c>
      <c r="C47" s="258" t="str">
        <f>C29</f>
        <v>ไม่ประเมินในเกณฑ์นี้</v>
      </c>
    </row>
    <row r="48" spans="1:3" ht="15" x14ac:dyDescent="0.25">
      <c r="A48" s="258">
        <v>1.7</v>
      </c>
      <c r="B48" s="260" t="s">
        <v>38</v>
      </c>
      <c r="C48" s="268" t="s">
        <v>357</v>
      </c>
    </row>
    <row r="49" spans="1:3" ht="15" x14ac:dyDescent="0.25">
      <c r="B49" s="260" t="s">
        <v>39</v>
      </c>
      <c r="C49" s="268" t="s">
        <v>356</v>
      </c>
    </row>
    <row r="50" spans="1:3" x14ac:dyDescent="0.2">
      <c r="B50" s="260" t="s">
        <v>37</v>
      </c>
      <c r="C50" s="258" t="str">
        <f>C29</f>
        <v>ไม่ประเมินในเกณฑ์นี้</v>
      </c>
    </row>
    <row r="51" spans="1:3" ht="15" x14ac:dyDescent="0.25">
      <c r="A51" s="258">
        <v>1.8</v>
      </c>
      <c r="B51" s="260" t="s">
        <v>38</v>
      </c>
      <c r="C51" s="268" t="s">
        <v>358</v>
      </c>
    </row>
    <row r="52" spans="1:3" ht="15" x14ac:dyDescent="0.25">
      <c r="B52" s="260" t="s">
        <v>39</v>
      </c>
      <c r="C52" s="268" t="s">
        <v>359</v>
      </c>
    </row>
    <row r="53" spans="1:3" x14ac:dyDescent="0.2">
      <c r="B53" s="260" t="s">
        <v>37</v>
      </c>
      <c r="C53" s="258" t="str">
        <f>C29</f>
        <v>ไม่ประเมินในเกณฑ์นี้</v>
      </c>
    </row>
    <row r="54" spans="1:3" ht="15" x14ac:dyDescent="0.25">
      <c r="A54" s="258">
        <v>1.9</v>
      </c>
      <c r="B54" s="260" t="s">
        <v>38</v>
      </c>
      <c r="C54" s="268" t="s">
        <v>360</v>
      </c>
    </row>
    <row r="55" spans="1:3" ht="15" x14ac:dyDescent="0.25">
      <c r="B55" s="260" t="s">
        <v>39</v>
      </c>
      <c r="C55" s="268" t="s">
        <v>360</v>
      </c>
    </row>
    <row r="56" spans="1:3" x14ac:dyDescent="0.2">
      <c r="B56" s="260" t="s">
        <v>37</v>
      </c>
      <c r="C56" s="258" t="str">
        <f>C29</f>
        <v>ไม่ประเมินในเกณฑ์นี้</v>
      </c>
    </row>
    <row r="57" spans="1:3" x14ac:dyDescent="0.2">
      <c r="A57" s="258" t="s">
        <v>81</v>
      </c>
      <c r="B57" s="260" t="s">
        <v>38</v>
      </c>
      <c r="C57" s="267" t="s">
        <v>361</v>
      </c>
    </row>
    <row r="58" spans="1:3" x14ac:dyDescent="0.2">
      <c r="B58" s="260" t="s">
        <v>39</v>
      </c>
      <c r="C58" s="267" t="s">
        <v>361</v>
      </c>
    </row>
    <row r="59" spans="1:3" x14ac:dyDescent="0.2">
      <c r="B59" s="260" t="s">
        <v>37</v>
      </c>
      <c r="C59" s="267" t="s">
        <v>361</v>
      </c>
    </row>
    <row r="60" spans="1:3" s="269" customFormat="1" x14ac:dyDescent="0.2">
      <c r="A60" s="269" t="s">
        <v>82</v>
      </c>
      <c r="B60" s="260" t="s">
        <v>38</v>
      </c>
      <c r="C60" s="267" t="s">
        <v>361</v>
      </c>
    </row>
    <row r="61" spans="1:3" s="269" customFormat="1" x14ac:dyDescent="0.2">
      <c r="B61" s="260" t="s">
        <v>39</v>
      </c>
      <c r="C61" s="267" t="s">
        <v>361</v>
      </c>
    </row>
    <row r="62" spans="1:3" s="269" customFormat="1" x14ac:dyDescent="0.2">
      <c r="B62" s="260" t="s">
        <v>37</v>
      </c>
      <c r="C62" s="267" t="s">
        <v>361</v>
      </c>
    </row>
    <row r="63" spans="1:3" s="269" customFormat="1" x14ac:dyDescent="0.2">
      <c r="A63" s="269" t="s">
        <v>91</v>
      </c>
      <c r="B63" s="270" t="s">
        <v>38</v>
      </c>
      <c r="C63" s="269" t="s">
        <v>8</v>
      </c>
    </row>
    <row r="64" spans="1:3" s="269" customFormat="1" x14ac:dyDescent="0.2">
      <c r="B64" s="270" t="s">
        <v>39</v>
      </c>
      <c r="C64" s="269" t="s">
        <v>8</v>
      </c>
    </row>
    <row r="65" spans="1:6" s="269" customFormat="1" x14ac:dyDescent="0.2">
      <c r="B65" s="270" t="s">
        <v>37</v>
      </c>
      <c r="C65" s="269" t="s">
        <v>8</v>
      </c>
    </row>
    <row r="66" spans="1:6" s="269" customFormat="1" x14ac:dyDescent="0.2">
      <c r="A66" s="269">
        <v>2.2000000000000002</v>
      </c>
      <c r="B66" s="270" t="s">
        <v>38</v>
      </c>
      <c r="C66" s="269" t="s">
        <v>92</v>
      </c>
    </row>
    <row r="67" spans="1:6" s="269" customFormat="1" x14ac:dyDescent="0.2">
      <c r="B67" s="270" t="s">
        <v>39</v>
      </c>
      <c r="C67" s="269" t="s">
        <v>93</v>
      </c>
    </row>
    <row r="68" spans="1:6" s="269" customFormat="1" x14ac:dyDescent="0.2">
      <c r="B68" s="270" t="s">
        <v>37</v>
      </c>
      <c r="C68" s="269" t="s">
        <v>94</v>
      </c>
    </row>
    <row r="69" spans="1:6" x14ac:dyDescent="0.2">
      <c r="B69" s="260"/>
    </row>
    <row r="70" spans="1:6" x14ac:dyDescent="0.2">
      <c r="B70" s="260"/>
    </row>
    <row r="71" spans="1:6" x14ac:dyDescent="0.2">
      <c r="B71" s="260"/>
    </row>
    <row r="77" spans="1:6" x14ac:dyDescent="0.2">
      <c r="B77" s="258" t="s">
        <v>225</v>
      </c>
      <c r="C77" s="258" t="s">
        <v>331</v>
      </c>
    </row>
    <row r="78" spans="1:6" x14ac:dyDescent="0.2">
      <c r="B78" s="258" t="s">
        <v>226</v>
      </c>
      <c r="C78" s="258" t="s">
        <v>330</v>
      </c>
    </row>
    <row r="79" spans="1:6" x14ac:dyDescent="0.2">
      <c r="A79" s="258" t="s">
        <v>227</v>
      </c>
      <c r="B79" s="258" t="s">
        <v>229</v>
      </c>
      <c r="C79" s="258" t="s">
        <v>228</v>
      </c>
      <c r="D79" s="258" t="s">
        <v>224</v>
      </c>
      <c r="F79" s="258" t="s">
        <v>71</v>
      </c>
    </row>
    <row r="80" spans="1:6" x14ac:dyDescent="0.2">
      <c r="A80" s="258">
        <v>100</v>
      </c>
      <c r="B80" s="258">
        <v>100</v>
      </c>
      <c r="C80" s="258">
        <f>100-A80</f>
        <v>0</v>
      </c>
      <c r="E80" s="258">
        <v>4</v>
      </c>
      <c r="F80" s="258">
        <v>5</v>
      </c>
    </row>
    <row r="81" spans="1:6" x14ac:dyDescent="0.2">
      <c r="A81" s="258">
        <v>99</v>
      </c>
      <c r="B81" s="258" t="s">
        <v>230</v>
      </c>
      <c r="C81" s="258">
        <f t="shared" ref="C81:C93" si="0">100-A81</f>
        <v>1</v>
      </c>
      <c r="E81" s="258">
        <f>C81*4/20</f>
        <v>0.2</v>
      </c>
      <c r="F81" s="258">
        <f>5-E81</f>
        <v>4.8</v>
      </c>
    </row>
    <row r="82" spans="1:6" x14ac:dyDescent="0.2">
      <c r="A82" s="258">
        <v>98</v>
      </c>
      <c r="B82" s="258" t="s">
        <v>231</v>
      </c>
      <c r="C82" s="258">
        <f t="shared" si="0"/>
        <v>2</v>
      </c>
      <c r="E82" s="258">
        <f t="shared" ref="E82:E100" si="1">C82*4/20</f>
        <v>0.4</v>
      </c>
      <c r="F82" s="258">
        <f t="shared" ref="F82:F100" si="2">5-E82</f>
        <v>4.5999999999999996</v>
      </c>
    </row>
    <row r="83" spans="1:6" x14ac:dyDescent="0.2">
      <c r="A83" s="258">
        <v>97</v>
      </c>
      <c r="B83" s="258" t="s">
        <v>232</v>
      </c>
      <c r="C83" s="258">
        <f t="shared" si="0"/>
        <v>3</v>
      </c>
      <c r="E83" s="258">
        <f t="shared" si="1"/>
        <v>0.6</v>
      </c>
      <c r="F83" s="258">
        <f t="shared" si="2"/>
        <v>4.4000000000000004</v>
      </c>
    </row>
    <row r="84" spans="1:6" x14ac:dyDescent="0.2">
      <c r="A84" s="258">
        <v>96</v>
      </c>
      <c r="B84" s="258" t="s">
        <v>233</v>
      </c>
      <c r="C84" s="258">
        <f t="shared" si="0"/>
        <v>4</v>
      </c>
      <c r="E84" s="258">
        <f t="shared" si="1"/>
        <v>0.8</v>
      </c>
      <c r="F84" s="258">
        <f t="shared" si="2"/>
        <v>4.2</v>
      </c>
    </row>
    <row r="85" spans="1:6" x14ac:dyDescent="0.2">
      <c r="A85" s="258">
        <v>95</v>
      </c>
      <c r="B85" s="258" t="s">
        <v>234</v>
      </c>
      <c r="C85" s="258">
        <f t="shared" si="0"/>
        <v>5</v>
      </c>
      <c r="E85" s="258">
        <f t="shared" si="1"/>
        <v>1</v>
      </c>
      <c r="F85" s="258">
        <f t="shared" si="2"/>
        <v>4</v>
      </c>
    </row>
    <row r="86" spans="1:6" x14ac:dyDescent="0.2">
      <c r="A86" s="258">
        <v>94</v>
      </c>
      <c r="B86" s="258" t="s">
        <v>235</v>
      </c>
      <c r="C86" s="258">
        <f t="shared" si="0"/>
        <v>6</v>
      </c>
      <c r="E86" s="258">
        <f t="shared" si="1"/>
        <v>1.2</v>
      </c>
      <c r="F86" s="258">
        <f t="shared" si="2"/>
        <v>3.8</v>
      </c>
    </row>
    <row r="87" spans="1:6" x14ac:dyDescent="0.2">
      <c r="A87" s="258">
        <v>93</v>
      </c>
      <c r="B87" s="258" t="s">
        <v>236</v>
      </c>
      <c r="C87" s="258">
        <f t="shared" si="0"/>
        <v>7</v>
      </c>
      <c r="E87" s="258">
        <f t="shared" si="1"/>
        <v>1.4</v>
      </c>
      <c r="F87" s="258">
        <f t="shared" si="2"/>
        <v>3.6</v>
      </c>
    </row>
    <row r="88" spans="1:6" x14ac:dyDescent="0.2">
      <c r="A88" s="258">
        <v>92</v>
      </c>
      <c r="B88" s="258" t="s">
        <v>237</v>
      </c>
      <c r="C88" s="258">
        <f t="shared" si="0"/>
        <v>8</v>
      </c>
      <c r="E88" s="258">
        <f t="shared" si="1"/>
        <v>1.6</v>
      </c>
      <c r="F88" s="258">
        <f t="shared" si="2"/>
        <v>3.4</v>
      </c>
    </row>
    <row r="89" spans="1:6" x14ac:dyDescent="0.2">
      <c r="A89" s="258">
        <v>91</v>
      </c>
      <c r="B89" s="258" t="s">
        <v>238</v>
      </c>
      <c r="C89" s="258">
        <f t="shared" si="0"/>
        <v>9</v>
      </c>
      <c r="E89" s="258">
        <f t="shared" si="1"/>
        <v>1.8</v>
      </c>
      <c r="F89" s="258">
        <f t="shared" si="2"/>
        <v>3.2</v>
      </c>
    </row>
    <row r="90" spans="1:6" x14ac:dyDescent="0.2">
      <c r="A90" s="262">
        <v>90</v>
      </c>
      <c r="B90" s="262" t="s">
        <v>239</v>
      </c>
      <c r="C90" s="262">
        <f t="shared" si="0"/>
        <v>10</v>
      </c>
      <c r="D90" s="262"/>
      <c r="E90" s="262">
        <f t="shared" si="1"/>
        <v>2</v>
      </c>
      <c r="F90" s="262">
        <f t="shared" si="2"/>
        <v>3</v>
      </c>
    </row>
    <row r="91" spans="1:6" x14ac:dyDescent="0.2">
      <c r="A91" s="258">
        <v>89</v>
      </c>
      <c r="B91" s="258" t="s">
        <v>240</v>
      </c>
      <c r="C91" s="258">
        <f t="shared" si="0"/>
        <v>11</v>
      </c>
      <c r="E91" s="258">
        <f t="shared" si="1"/>
        <v>2.2000000000000002</v>
      </c>
      <c r="F91" s="258">
        <f t="shared" si="2"/>
        <v>2.8</v>
      </c>
    </row>
    <row r="92" spans="1:6" x14ac:dyDescent="0.2">
      <c r="A92" s="258">
        <v>88</v>
      </c>
      <c r="B92" s="258" t="s">
        <v>241</v>
      </c>
      <c r="C92" s="258">
        <f t="shared" si="0"/>
        <v>12</v>
      </c>
      <c r="E92" s="258">
        <f t="shared" si="1"/>
        <v>2.4</v>
      </c>
      <c r="F92" s="258">
        <f t="shared" si="2"/>
        <v>2.6</v>
      </c>
    </row>
    <row r="93" spans="1:6" x14ac:dyDescent="0.2">
      <c r="A93" s="258">
        <v>87</v>
      </c>
      <c r="B93" s="258" t="s">
        <v>242</v>
      </c>
      <c r="C93" s="258">
        <f t="shared" si="0"/>
        <v>13</v>
      </c>
      <c r="E93" s="258">
        <f t="shared" si="1"/>
        <v>2.6</v>
      </c>
      <c r="F93" s="258">
        <f t="shared" si="2"/>
        <v>2.4</v>
      </c>
    </row>
    <row r="94" spans="1:6" x14ac:dyDescent="0.2">
      <c r="A94" s="258">
        <v>86</v>
      </c>
      <c r="B94" s="258" t="s">
        <v>243</v>
      </c>
      <c r="C94" s="258">
        <f t="shared" ref="C94:C100" si="3">100-A94</f>
        <v>14</v>
      </c>
      <c r="E94" s="258">
        <f t="shared" si="1"/>
        <v>2.8</v>
      </c>
      <c r="F94" s="258">
        <f t="shared" si="2"/>
        <v>2.2000000000000002</v>
      </c>
    </row>
    <row r="95" spans="1:6" x14ac:dyDescent="0.2">
      <c r="A95" s="258">
        <v>85</v>
      </c>
      <c r="B95" s="258" t="s">
        <v>244</v>
      </c>
      <c r="C95" s="258">
        <f t="shared" si="3"/>
        <v>15</v>
      </c>
      <c r="E95" s="258">
        <f t="shared" si="1"/>
        <v>3</v>
      </c>
      <c r="F95" s="258">
        <f t="shared" si="2"/>
        <v>2</v>
      </c>
    </row>
    <row r="96" spans="1:6" x14ac:dyDescent="0.2">
      <c r="A96" s="258">
        <v>84</v>
      </c>
      <c r="B96" s="258" t="s">
        <v>245</v>
      </c>
      <c r="C96" s="258">
        <f t="shared" si="3"/>
        <v>16</v>
      </c>
      <c r="E96" s="258">
        <f t="shared" si="1"/>
        <v>3.2</v>
      </c>
      <c r="F96" s="258">
        <f t="shared" si="2"/>
        <v>1.7999999999999998</v>
      </c>
    </row>
    <row r="97" spans="1:6" x14ac:dyDescent="0.2">
      <c r="A97" s="258">
        <v>83</v>
      </c>
      <c r="B97" s="258" t="s">
        <v>246</v>
      </c>
      <c r="C97" s="258">
        <f t="shared" si="3"/>
        <v>17</v>
      </c>
      <c r="E97" s="258">
        <f t="shared" si="1"/>
        <v>3.4</v>
      </c>
      <c r="F97" s="258">
        <f t="shared" si="2"/>
        <v>1.6</v>
      </c>
    </row>
    <row r="98" spans="1:6" x14ac:dyDescent="0.2">
      <c r="A98" s="258">
        <v>82</v>
      </c>
      <c r="B98" s="258" t="s">
        <v>247</v>
      </c>
      <c r="C98" s="258">
        <f t="shared" si="3"/>
        <v>18</v>
      </c>
      <c r="E98" s="258">
        <f t="shared" si="1"/>
        <v>3.6</v>
      </c>
      <c r="F98" s="258">
        <f t="shared" si="2"/>
        <v>1.4</v>
      </c>
    </row>
    <row r="99" spans="1:6" x14ac:dyDescent="0.2">
      <c r="A99" s="258">
        <v>81</v>
      </c>
      <c r="B99" s="258" t="s">
        <v>248</v>
      </c>
      <c r="C99" s="258">
        <f t="shared" si="3"/>
        <v>19</v>
      </c>
      <c r="E99" s="258">
        <f t="shared" si="1"/>
        <v>3.8</v>
      </c>
      <c r="F99" s="258">
        <f t="shared" si="2"/>
        <v>1.2000000000000002</v>
      </c>
    </row>
    <row r="100" spans="1:6" x14ac:dyDescent="0.2">
      <c r="A100" s="258">
        <v>80</v>
      </c>
      <c r="B100" s="258" t="s">
        <v>249</v>
      </c>
      <c r="C100" s="258">
        <f t="shared" si="3"/>
        <v>20</v>
      </c>
      <c r="E100" s="258">
        <f t="shared" si="1"/>
        <v>4</v>
      </c>
      <c r="F100" s="258">
        <f t="shared" si="2"/>
        <v>1</v>
      </c>
    </row>
    <row r="149" spans="1:5" x14ac:dyDescent="0.2">
      <c r="A149" s="258" t="s">
        <v>154</v>
      </c>
    </row>
    <row r="150" spans="1:5" x14ac:dyDescent="0.2">
      <c r="A150" s="258" t="s">
        <v>140</v>
      </c>
      <c r="E150" s="258">
        <v>1</v>
      </c>
    </row>
    <row r="151" spans="1:5" x14ac:dyDescent="0.2">
      <c r="A151" s="258" t="s">
        <v>143</v>
      </c>
      <c r="E151" s="258">
        <v>2</v>
      </c>
    </row>
    <row r="152" spans="1:5" x14ac:dyDescent="0.2">
      <c r="A152" s="258" t="s">
        <v>136</v>
      </c>
      <c r="E152" s="258">
        <v>3</v>
      </c>
    </row>
    <row r="153" spans="1:5" x14ac:dyDescent="0.2">
      <c r="A153" s="258" t="s">
        <v>134</v>
      </c>
      <c r="E153" s="258">
        <v>4</v>
      </c>
    </row>
    <row r="154" spans="1:5" x14ac:dyDescent="0.2">
      <c r="A154" s="258" t="s">
        <v>137</v>
      </c>
      <c r="E154" s="258">
        <v>5</v>
      </c>
    </row>
    <row r="155" spans="1:5" x14ac:dyDescent="0.2">
      <c r="A155" s="258" t="s">
        <v>141</v>
      </c>
      <c r="E155" s="258">
        <v>6</v>
      </c>
    </row>
    <row r="156" spans="1:5" x14ac:dyDescent="0.2">
      <c r="A156" s="258" t="s">
        <v>131</v>
      </c>
      <c r="E156" s="258">
        <v>7</v>
      </c>
    </row>
    <row r="157" spans="1:5" x14ac:dyDescent="0.2">
      <c r="A157" s="258" t="s">
        <v>144</v>
      </c>
      <c r="E157" s="258">
        <v>8</v>
      </c>
    </row>
    <row r="158" spans="1:5" x14ac:dyDescent="0.2">
      <c r="A158" s="258" t="s">
        <v>132</v>
      </c>
      <c r="E158" s="258">
        <v>9</v>
      </c>
    </row>
    <row r="159" spans="1:5" x14ac:dyDescent="0.2">
      <c r="A159" s="258" t="s">
        <v>138</v>
      </c>
      <c r="E159" s="258">
        <v>10</v>
      </c>
    </row>
    <row r="160" spans="1:5" x14ac:dyDescent="0.2">
      <c r="A160" s="258" t="s">
        <v>139</v>
      </c>
      <c r="E160" s="258">
        <v>11</v>
      </c>
    </row>
    <row r="161" spans="1:5" x14ac:dyDescent="0.2">
      <c r="A161" s="258" t="s">
        <v>135</v>
      </c>
      <c r="E161" s="258">
        <v>12</v>
      </c>
    </row>
    <row r="162" spans="1:5" x14ac:dyDescent="0.2">
      <c r="A162" s="258" t="s">
        <v>142</v>
      </c>
      <c r="E162" s="258">
        <v>13</v>
      </c>
    </row>
    <row r="163" spans="1:5" x14ac:dyDescent="0.2">
      <c r="A163" s="258" t="s">
        <v>133</v>
      </c>
      <c r="E163" s="258">
        <v>14</v>
      </c>
    </row>
    <row r="164" spans="1:5" x14ac:dyDescent="0.2">
      <c r="A164" s="258" t="s">
        <v>150</v>
      </c>
      <c r="E164" s="258">
        <v>15</v>
      </c>
    </row>
    <row r="165" spans="1:5" x14ac:dyDescent="0.2">
      <c r="A165" s="258" t="s">
        <v>146</v>
      </c>
      <c r="E165" s="258">
        <v>16</v>
      </c>
    </row>
    <row r="166" spans="1:5" x14ac:dyDescent="0.2">
      <c r="A166" s="258" t="s">
        <v>145</v>
      </c>
      <c r="E166" s="258">
        <v>17</v>
      </c>
    </row>
    <row r="167" spans="1:5" x14ac:dyDescent="0.2">
      <c r="A167" s="258" t="s">
        <v>147</v>
      </c>
      <c r="E167" s="258">
        <v>18</v>
      </c>
    </row>
    <row r="168" spans="1:5" x14ac:dyDescent="0.2">
      <c r="A168" s="258" t="s">
        <v>153</v>
      </c>
      <c r="E168" s="258">
        <v>19</v>
      </c>
    </row>
    <row r="169" spans="1:5" x14ac:dyDescent="0.2">
      <c r="A169" s="258" t="s">
        <v>151</v>
      </c>
      <c r="E169" s="258">
        <v>20</v>
      </c>
    </row>
    <row r="170" spans="1:5" x14ac:dyDescent="0.2">
      <c r="A170" s="258" t="s">
        <v>152</v>
      </c>
      <c r="E170" s="258">
        <v>21</v>
      </c>
    </row>
    <row r="171" spans="1:5" x14ac:dyDescent="0.2">
      <c r="A171" s="258" t="s">
        <v>149</v>
      </c>
      <c r="E171" s="258">
        <v>22</v>
      </c>
    </row>
    <row r="172" spans="1:5" x14ac:dyDescent="0.2">
      <c r="A172" s="258" t="s">
        <v>148</v>
      </c>
      <c r="E172" s="258">
        <v>23</v>
      </c>
    </row>
  </sheetData>
  <sortState ref="A155:N190">
    <sortCondition ref="A15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="115" zoomScaleNormal="115" workbookViewId="0">
      <pane ySplit="4" topLeftCell="A5" activePane="bottomLeft" state="frozen"/>
      <selection activeCell="J12" sqref="J12"/>
      <selection pane="bottomLeft" activeCell="B8" sqref="B8"/>
    </sheetView>
  </sheetViews>
  <sheetFormatPr defaultColWidth="9" defaultRowHeight="18.75" x14ac:dyDescent="0.3"/>
  <cols>
    <col min="1" max="1" width="29.375" style="3" customWidth="1"/>
    <col min="2" max="2" width="39.375" style="3" customWidth="1"/>
    <col min="3" max="3" width="8.375" style="3" customWidth="1"/>
    <col min="4" max="4" width="8.875" style="3" customWidth="1"/>
    <col min="5" max="6" width="10.25" style="3" customWidth="1"/>
    <col min="7" max="7" width="46.375" style="3" customWidth="1"/>
    <col min="8" max="16384" width="9" style="1"/>
  </cols>
  <sheetData>
    <row r="1" spans="1:7" ht="22.5" x14ac:dyDescent="0.3">
      <c r="A1" s="129" t="s">
        <v>219</v>
      </c>
      <c r="B1" s="129" t="str">
        <f>"ชื่อหลักสูตร  "&amp;IF(INTRO!C2="","",INTRO!C2)</f>
        <v xml:space="preserve">ชื่อหลักสูตร  </v>
      </c>
      <c r="G1" s="129" t="str">
        <f>IF(INTRO!C7="","",INTRO!C7)</f>
        <v>เลือกหน่วยงาน</v>
      </c>
    </row>
    <row r="2" spans="1:7" ht="19.5" thickBot="1" x14ac:dyDescent="0.35"/>
    <row r="3" spans="1:7" ht="22.5" customHeight="1" x14ac:dyDescent="0.3">
      <c r="A3" s="344" t="s">
        <v>0</v>
      </c>
      <c r="B3" s="345"/>
      <c r="C3" s="350" t="s">
        <v>3</v>
      </c>
      <c r="D3" s="351"/>
      <c r="E3" s="351"/>
      <c r="F3" s="352"/>
      <c r="G3" s="342" t="s">
        <v>317</v>
      </c>
    </row>
    <row r="4" spans="1:7" ht="21" customHeight="1" x14ac:dyDescent="0.3">
      <c r="A4" s="346"/>
      <c r="B4" s="347"/>
      <c r="C4" s="49" t="s">
        <v>4</v>
      </c>
      <c r="D4" s="49" t="s">
        <v>5</v>
      </c>
      <c r="E4" s="49" t="s">
        <v>6</v>
      </c>
      <c r="F4" s="49" t="s">
        <v>71</v>
      </c>
      <c r="G4" s="343"/>
    </row>
    <row r="5" spans="1:7" ht="21" x14ac:dyDescent="0.3">
      <c r="A5" s="321" t="s">
        <v>7</v>
      </c>
      <c r="B5" s="294"/>
      <c r="C5" s="294"/>
      <c r="D5" s="294"/>
      <c r="E5" s="294"/>
      <c r="F5" s="294"/>
      <c r="G5" s="295"/>
    </row>
    <row r="6" spans="1:7" s="2" customFormat="1" ht="21.75" customHeight="1" x14ac:dyDescent="0.2">
      <c r="A6" s="348" t="s">
        <v>19</v>
      </c>
      <c r="B6" s="334"/>
      <c r="C6" s="334"/>
      <c r="D6" s="334"/>
      <c r="E6" s="334"/>
      <c r="F6" s="334"/>
      <c r="G6" s="349"/>
    </row>
    <row r="7" spans="1:7" s="2" customFormat="1" ht="60" customHeight="1" x14ac:dyDescent="0.2">
      <c r="A7" s="44" t="s">
        <v>1</v>
      </c>
      <c r="B7" s="25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7" s="48"/>
      <c r="D7" s="48"/>
      <c r="E7" s="17" t="str">
        <f>IF(B7=info!$C$29,"",IF(KPI1.1!C8="เลือก","",IF(KPI1.1!C8="ยกเว้น","ยกเว้น",IF(KPI1.1!C8="ผ่าน","ผ่าน","ไม่ผ่าน"))))</f>
        <v>ผ่าน</v>
      </c>
      <c r="F7" s="48"/>
      <c r="G7" s="27" t="str">
        <f>IF(KPI1.1!D8="","",KPI1.1!D8)</f>
        <v/>
      </c>
    </row>
    <row r="8" spans="1:7" s="2" customFormat="1" ht="60" customHeight="1" x14ac:dyDescent="0.2">
      <c r="A8" s="44" t="s">
        <v>2</v>
      </c>
      <c r="B8" s="25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8" s="48"/>
      <c r="D8" s="48"/>
      <c r="E8" s="17" t="str">
        <f>IF(B8=info!$C$29,"",IF(KPI1.1!C9="เลือก","",IF(KPI1.1!C9="ยกเว้น","ยกเว้น",IF(KPI1.1!C9="ผ่าน","ผ่าน","ไม่ผ่าน"))))</f>
        <v>ผ่าน</v>
      </c>
      <c r="F8" s="48"/>
      <c r="G8" s="27" t="str">
        <f>IF(KPI1.1!D9="","",KPI1.1!D9)</f>
        <v/>
      </c>
    </row>
    <row r="9" spans="1:7" s="2" customFormat="1" ht="61.5" customHeight="1" x14ac:dyDescent="0.2">
      <c r="A9" s="44" t="s">
        <v>14</v>
      </c>
      <c r="B9" s="25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9" s="48"/>
      <c r="D9" s="48"/>
      <c r="E9" s="17" t="str">
        <f>IF(B9=info!$C$29,"",IF(KPI1.1!C10="เลือก","",IF(KPI1.1!C10="ยกเว้น","ยกเว้น",IF(KPI1.1!C10="ผ่าน","ผ่าน","ไม่ผ่าน"))))</f>
        <v>ผ่าน</v>
      </c>
      <c r="F9" s="48"/>
      <c r="G9" s="27" t="str">
        <f>IF(KPI1.1!D10="","",KPI1.1!D10)</f>
        <v/>
      </c>
    </row>
    <row r="10" spans="1:7" s="2" customFormat="1" ht="40.5" x14ac:dyDescent="0.2">
      <c r="A10" s="44" t="s">
        <v>42</v>
      </c>
      <c r="B10" s="25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48"/>
      <c r="D10" s="48"/>
      <c r="E10" s="17" t="str">
        <f>IF(B10=info!$C$29,"",IF(KPI1.1!C11="เลือก","",IF(KPI1.1!C11="ยกเว้น","ยกเว้น",IF(KPI1.1!C11="ผ่าน","ผ่าน","ไม่ผ่าน"))))</f>
        <v>ผ่าน</v>
      </c>
      <c r="F10" s="48"/>
      <c r="G10" s="27" t="str">
        <f>IF(KPI1.1!D11="","",KPI1.1!D11)</f>
        <v/>
      </c>
    </row>
    <row r="11" spans="1:7" s="2" customFormat="1" ht="60.75" x14ac:dyDescent="0.2">
      <c r="A11" s="44" t="s">
        <v>41</v>
      </c>
      <c r="B11" s="25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48"/>
      <c r="D11" s="48"/>
      <c r="E11" s="17" t="str">
        <f>IF(B11=info!$C$29,"",IF(KPI1.1!C12="เลือก","",IF(KPI1.1!C12="ยกเว้น","ยกเว้น",IF(KPI1.1!C12="ผ่าน","ผ่าน","ไม่ผ่าน"))))</f>
        <v>ผ่าน</v>
      </c>
      <c r="F11" s="48"/>
      <c r="G11" s="27" t="str">
        <f>IF(KPI1.1!D12="","",KPI1.1!D12)</f>
        <v/>
      </c>
    </row>
    <row r="12" spans="1:7" s="2" customFormat="1" ht="61.5" customHeight="1" x14ac:dyDescent="0.2">
      <c r="A12" s="44" t="s">
        <v>15</v>
      </c>
      <c r="B12" s="25" t="str">
        <f>IF(INTRO!$D$1=info!B45,info!C45,IF(INTRO!$D$1=info!B46,info!C46,IF(INTRO!$D$1=info!B47,info!C47,"ยังไม่ได้เลือกระดับการประเมินหลักสูตร")))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48"/>
      <c r="D12" s="48"/>
      <c r="E12" s="17" t="str">
        <f>IF(B12=info!$C$29,"",IF(KPI1.1!C13="เลือก","",IF(KPI1.1!C13="ยกเว้น","ยกเว้น",IF(KPI1.1!C13="ผ่าน","ผ่าน","ไม่ผ่าน"))))</f>
        <v>ผ่าน</v>
      </c>
      <c r="F12" s="48"/>
      <c r="G12" s="27" t="str">
        <f>IF(KPI1.1!D13="","",KPI1.1!D13)</f>
        <v/>
      </c>
    </row>
    <row r="13" spans="1:7" s="2" customFormat="1" ht="60" customHeight="1" x14ac:dyDescent="0.2">
      <c r="A13" s="44" t="s">
        <v>16</v>
      </c>
      <c r="B13" s="25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48"/>
      <c r="D13" s="48"/>
      <c r="E13" s="17" t="str">
        <f>IF(B13=info!$C$29,"",IF(KPI1.1!C14="เลือก","",IF(KPI1.1!C14="ยกเว้น","ยกเว้น",IF(KPI1.1!C14="ผ่าน","ผ่าน","ไม่ผ่าน"))))</f>
        <v>ผ่าน</v>
      </c>
      <c r="F13" s="48"/>
      <c r="G13" s="27" t="str">
        <f>IF(KPI1.1!D14="","",KPI1.1!D14)</f>
        <v/>
      </c>
    </row>
    <row r="14" spans="1:7" s="2" customFormat="1" ht="45" customHeight="1" x14ac:dyDescent="0.2">
      <c r="A14" s="44" t="s">
        <v>17</v>
      </c>
      <c r="B14" s="25" t="str">
        <f>IF(INTRO!$D$1=info!B51,info!C51,IF(INTRO!$D$1=info!B52,info!C52,IF(INTRO!$D$1=info!B53,info!C53,"ยังไม่ได้เลือกระดับการประเมินหลักสูตร")))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48"/>
      <c r="D14" s="48"/>
      <c r="E14" s="17" t="str">
        <f>IF(B14=info!$C$29,"",IF(KPI1.1!C15="เลือก","",IF(KPI1.1!C15="ยกเว้น","ยกเว้น",IF(KPI1.1!C15="ผ่าน","ผ่าน","ไม่ผ่าน"))))</f>
        <v>ผ่าน</v>
      </c>
      <c r="F14" s="48"/>
      <c r="G14" s="27" t="str">
        <f>IF(KPI1.1!D15="","",KPI1.1!D15)</f>
        <v/>
      </c>
    </row>
    <row r="15" spans="1:7" s="2" customFormat="1" ht="63" customHeight="1" x14ac:dyDescent="0.2">
      <c r="A15" s="44" t="s">
        <v>18</v>
      </c>
      <c r="B15" s="25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48"/>
      <c r="D15" s="48"/>
      <c r="E15" s="17" t="str">
        <f>IF(B15=info!$C$29,"",IF(KPI1.1!C16="เลือก","",IF(KPI1.1!C16="ยกเว้น","ยกเว้น",IF(KPI1.1!C16="ผ่าน","ผ่าน","ไม่ผ่าน"))))</f>
        <v>ผ่าน</v>
      </c>
      <c r="F15" s="48"/>
      <c r="G15" s="27" t="str">
        <f>IF(KPI1.1!D16="","",KPI1.1!D16)</f>
        <v/>
      </c>
    </row>
    <row r="16" spans="1:7" s="2" customFormat="1" ht="63" customHeight="1" x14ac:dyDescent="0.2">
      <c r="A16" s="44" t="s">
        <v>337</v>
      </c>
      <c r="B16" s="25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6" s="48"/>
      <c r="D16" s="48"/>
      <c r="E16" s="17" t="str">
        <f>IF(B16=info!$C$29,"",IF(KPI1.1!C17="เลือก","",IF(KPI1.1!C17="ยกเว้น","ยกเว้น",IF(KPI1.1!C17="ผ่าน","ผ่าน","ไม่ผ่าน"))))</f>
        <v>ผ่าน</v>
      </c>
      <c r="F16" s="48"/>
      <c r="G16" s="27" t="str">
        <f>IF(KPI1.1!D17="","",KPI1.1!D17)</f>
        <v/>
      </c>
    </row>
    <row r="17" spans="1:7" ht="21.75" customHeight="1" x14ac:dyDescent="0.3">
      <c r="A17" s="339" t="s">
        <v>84</v>
      </c>
      <c r="B17" s="340"/>
      <c r="C17" s="340"/>
      <c r="D17" s="340"/>
      <c r="E17" s="340"/>
      <c r="F17" s="340"/>
      <c r="G17" s="341"/>
    </row>
    <row r="18" spans="1:7" ht="21" x14ac:dyDescent="0.3">
      <c r="A18" s="321" t="s">
        <v>7</v>
      </c>
      <c r="B18" s="294"/>
      <c r="C18" s="294"/>
      <c r="D18" s="294"/>
      <c r="E18" s="294"/>
      <c r="F18" s="294"/>
      <c r="G18" s="295"/>
    </row>
    <row r="19" spans="1:7" s="2" customFormat="1" ht="21.75" customHeight="1" x14ac:dyDescent="0.2">
      <c r="A19" s="142" t="s">
        <v>19</v>
      </c>
      <c r="B19" s="102"/>
      <c r="C19" s="48"/>
      <c r="D19" s="48"/>
      <c r="E19" s="28" t="str">
        <f>IF(COUNTBLANK(E7:E16)=11,"",IF(COUNTIFS(E7:E16,"&lt;&gt;ไม่ประเมินในเกณฑ์นี้",E7:E16,"ผ่าน")+COUNTIFS(E7:E16,"&lt;&gt;ไม่ประเมินในเกณฑ์นี้",E7:E16,"ยกเว้น")&lt;info!H2,"ไม่ผ่าน","ผ่าน"))</f>
        <v>ผ่าน</v>
      </c>
      <c r="F19" s="48"/>
      <c r="G19" s="27" t="str">
        <f>IF(KPI1.1!D18="","",KPI1.1!D18)</f>
        <v/>
      </c>
    </row>
    <row r="20" spans="1:7" ht="22.5" customHeight="1" x14ac:dyDescent="0.3">
      <c r="A20" s="143" t="s">
        <v>9</v>
      </c>
      <c r="B20" s="50"/>
      <c r="C20" s="50"/>
      <c r="D20" s="50"/>
      <c r="E20" s="50"/>
      <c r="F20" s="50"/>
      <c r="G20" s="255"/>
    </row>
    <row r="21" spans="1:7" ht="39.75" customHeight="1" x14ac:dyDescent="0.3">
      <c r="A21" s="142" t="s">
        <v>48</v>
      </c>
      <c r="B21" s="27"/>
      <c r="C21" s="29" t="str">
        <f>IF(CDS!C8="","",IF(CDS!C14&gt;=20,CDS!C7,))</f>
        <v/>
      </c>
      <c r="D21" s="29" t="str">
        <f>IF(CDS!C8="","",IF(CDS!C8&gt;=20,CDS!C6,))</f>
        <v/>
      </c>
      <c r="E21" s="30" t="str">
        <f>IF(COUNTBLANK(C21:D21)=2,"",IF(ISERROR(C21/D21),,C21/D21))</f>
        <v/>
      </c>
      <c r="F21" s="30" t="str">
        <f>IF(E21="","",IF(ISERROR(C21/D21),,IF(C21/D21&gt;5,5,C21/D21)))</f>
        <v/>
      </c>
      <c r="G21" s="27"/>
    </row>
    <row r="22" spans="1:7" ht="21" x14ac:dyDescent="0.3">
      <c r="A22" s="144" t="s">
        <v>10</v>
      </c>
      <c r="B22" s="70" t="str">
        <f>IF(INTRO!$D$1=info!B66,info!C66,IF(INTRO!$D$1=info!B67,info!C67,IF(INTRO!$D$1=info!B68,info!C68,"ยังไม่ได้เลือกระดับการประเมินหลักสูตร")))</f>
        <v>ยังไม่ได้เลือกระดับการประเมินหลักสูตร</v>
      </c>
      <c r="C22" s="29" t="str">
        <f>IF(INTRO!$D$1=info!C9,"",IF(INTRO!$D$1=info!C10,IF(CDS!C58="","",CDS!C58),IF(INTRO!$D$1=info!C11,IF(CDS!C37="","",CDS!C37),IF(INTRO!$D$1=info!C12,IF(CDS!C11="","",CDS!C11),"N/A"))))</f>
        <v/>
      </c>
      <c r="D22" s="29" t="str">
        <f>IF(INTRO!$D$1=info!C9,"",IF(INTRO!$D$1=info!C10,IF(CDS!C39="","",CDS!C39),IF(INTRO!$D$1=info!C11,IF(CDS!C17="","",CDS!C17),IF(INTRO!$D$1=info!C12,IF(CDS!C10="","",CDS!C10-CDS!C12),"N/A"))))</f>
        <v/>
      </c>
      <c r="E22" s="30" t="str">
        <f>IF(INTRO!$D$1=info!C9,"",IF(INTRO!$D$1=info!C10,IF(COUNTBLANK(C22:D22)=2,"",IF(ISERROR(C22*100/D22),,C22*100/D22)),IF(INTRO!$D$1=info!C11,IF(COUNTBLANK(C22:D22)=2,"",IF(ISERROR(C22*100/D22),,C22*100/D22)),IF(INTRO!$D$1=info!C12,IF(COUNTBLANK(C22:D22)=2,"",IF(ISERROR(C22*100/D22),,C22*100/D22)),"N/A"))))</f>
        <v/>
      </c>
      <c r="F22" s="30" t="str">
        <f>IF(INTRO!$D$1=info!C9,"",IF(INTRO!$D$1=info!C10,IF(E22="","",IF(ISERROR(E22*5/80),,IF(E22*5/80&gt;5,5,E22*5/80))),IF(INTRO!$D$1=info!C11,IF(E22="","",IF(ISERROR(E22*5/40),,IF(E22*5/40&gt;5,5,E22*5/40))),IF(INTRO!$D$1=info!C12,IF(CDS!C15&lt;70,,IF(E22="","",IF(ISERROR(E22*5/100),,IF(E22*5/100&gt;5,5,E22*5/100)))),))))</f>
        <v/>
      </c>
      <c r="G22" s="27"/>
    </row>
    <row r="23" spans="1:7" ht="21" x14ac:dyDescent="0.3">
      <c r="A23" s="143" t="s">
        <v>11</v>
      </c>
      <c r="B23" s="50"/>
      <c r="C23" s="50"/>
      <c r="D23" s="50"/>
      <c r="E23" s="50"/>
      <c r="F23" s="50"/>
      <c r="G23" s="255"/>
    </row>
    <row r="24" spans="1:7" ht="20.25" x14ac:dyDescent="0.3">
      <c r="A24" s="145" t="s">
        <v>300</v>
      </c>
      <c r="B24" s="46"/>
      <c r="C24" s="72"/>
      <c r="D24" s="92"/>
      <c r="E24" s="104" t="s">
        <v>47</v>
      </c>
      <c r="F24" s="30" t="str">
        <f t="shared" ref="F24:F28" si="0">IF(E24="เลือก","",E24)</f>
        <v/>
      </c>
      <c r="G24" s="71"/>
    </row>
    <row r="25" spans="1:7" ht="20.25" x14ac:dyDescent="0.3">
      <c r="A25" s="145" t="s">
        <v>301</v>
      </c>
      <c r="B25" s="46"/>
      <c r="C25" s="72"/>
      <c r="D25" s="92"/>
      <c r="E25" s="104" t="s">
        <v>47</v>
      </c>
      <c r="F25" s="30" t="str">
        <f t="shared" si="0"/>
        <v/>
      </c>
      <c r="G25" s="71"/>
    </row>
    <row r="26" spans="1:7" ht="20.25" x14ac:dyDescent="0.3">
      <c r="A26" s="145" t="s">
        <v>302</v>
      </c>
      <c r="B26" s="46"/>
      <c r="C26" s="72"/>
      <c r="D26" s="92"/>
      <c r="E26" s="104" t="s">
        <v>47</v>
      </c>
      <c r="F26" s="30" t="str">
        <f t="shared" si="0"/>
        <v/>
      </c>
      <c r="G26" s="71"/>
    </row>
    <row r="27" spans="1:7" ht="21" x14ac:dyDescent="0.3">
      <c r="A27" s="143" t="s">
        <v>303</v>
      </c>
      <c r="B27" s="50"/>
      <c r="C27" s="50"/>
      <c r="D27" s="50"/>
      <c r="E27" s="50"/>
      <c r="F27" s="50"/>
      <c r="G27" s="255"/>
    </row>
    <row r="28" spans="1:7" ht="20.25" x14ac:dyDescent="0.3">
      <c r="A28" s="144" t="s">
        <v>114</v>
      </c>
      <c r="B28" s="47"/>
      <c r="C28" s="72"/>
      <c r="D28" s="92"/>
      <c r="E28" s="104" t="s">
        <v>47</v>
      </c>
      <c r="F28" s="30" t="str">
        <f t="shared" si="0"/>
        <v/>
      </c>
      <c r="G28" s="71"/>
    </row>
    <row r="29" spans="1:7" ht="20.25" x14ac:dyDescent="0.3">
      <c r="A29" s="144" t="s">
        <v>115</v>
      </c>
      <c r="B29" s="47"/>
      <c r="C29" s="29"/>
      <c r="D29" s="29"/>
      <c r="E29" s="30"/>
      <c r="F29" s="30" t="str">
        <f>IF(COUNTBLANK(F30:F33)=4,"", IF(ISERROR(AVERAGE(F30:F33)),,AVERAGE(F30:F33)))</f>
        <v/>
      </c>
      <c r="G29" s="71"/>
    </row>
    <row r="30" spans="1:7" ht="20.25" x14ac:dyDescent="0.3">
      <c r="A30" s="355" t="s">
        <v>295</v>
      </c>
      <c r="B30" s="356"/>
      <c r="C30" s="30" t="str">
        <f>IF(CDS!C61="","",CDS!C61)</f>
        <v/>
      </c>
      <c r="D30" s="30" t="str">
        <f>IF(CDS!C62="","",CDS!C62)</f>
        <v/>
      </c>
      <c r="E30" s="30" t="str">
        <f>IF(COUNTBLANK(C30:D30)=2,"",IF(ISERROR(C30*100/D30),,C30*100/D30))</f>
        <v/>
      </c>
      <c r="F30" s="30" t="str">
        <f>IF(INTRO!$D$1=info!C9,"",IF(INTRO!$D$1=info!C10,IF(E30="","",IF(ISERROR(E30*5/100),,IF(E30*5/100&gt;5,5,E30*5/100))),IF(INTRO!$D$1=info!C11,IF(E30="","",IF(ISERROR(E30*5/60),,IF(E30*5/60&gt;5,5,E30*5/60))),IF(INTRO!$D$1=info!C12,IF(E30="","",IF(ISERROR(E30*5/20),,IF(E30*5/20&gt;5,5,E30*5/20))),))))</f>
        <v/>
      </c>
      <c r="G30" s="71"/>
    </row>
    <row r="31" spans="1:7" ht="20.25" x14ac:dyDescent="0.3">
      <c r="A31" s="355" t="s">
        <v>20</v>
      </c>
      <c r="B31" s="356"/>
      <c r="C31" s="30" t="str">
        <f>IF(CDS!C66="","",CDS!C66)</f>
        <v/>
      </c>
      <c r="D31" s="30" t="str">
        <f>IF(CDS!C62="","",CDS!C62)</f>
        <v/>
      </c>
      <c r="E31" s="30" t="str">
        <f>IF(COUNTBLANK(C31:D31)=2,"",IF(ISERROR(C31*100/D31),,C31*100/D31))</f>
        <v/>
      </c>
      <c r="F31" s="30" t="str">
        <f>IF(INTRO!$D$1=info!C9,"",IF(INTRO!$D$1=info!C10,IF(E31="","",IF(ISERROR(E31*5/100),,IF(E31*5/100&gt;5,5,E31*5/100))),IF(INTRO!$D$1=info!C11,IF(E31="","",IF(ISERROR(E31*5/80),,IF(E31*5/80&gt;5,5,E31*5/80))),IF(INTRO!$D$1=info!C12,IF(E31="","",IF(ISERROR(E31*5/60),,IF(E31*5/60&gt;5,5,E31*5/60))),))))</f>
        <v/>
      </c>
      <c r="G31" s="71"/>
    </row>
    <row r="32" spans="1:7" ht="20.25" x14ac:dyDescent="0.3">
      <c r="A32" s="355" t="s">
        <v>21</v>
      </c>
      <c r="B32" s="356"/>
      <c r="C32" s="30" t="str">
        <f>IF(CDS!C102="","",CDS!C102)</f>
        <v/>
      </c>
      <c r="D32" s="30" t="str">
        <f>IF(CDS!C62="","",CDS!C62)</f>
        <v/>
      </c>
      <c r="E32" s="30" t="str">
        <f>IF(COUNTBLANK(C32:D32)=2,"",IF(ISERROR(C32*100/D32),,C32*100/D32))</f>
        <v/>
      </c>
      <c r="F32" s="30" t="str">
        <f>IF(E32="","",IF(INTRO!$D$1=info!$C$9,"",IF(INTRO!$D$1=info!$C$10,IF(E32="","",IF(ISERROR(E32*5/60),,IF(E32*5/60&gt;5,5,E32*5/60))),IF(INTRO!$D$1=info!$C$11,IF(E32="","",IF(ISERROR(E32*5/40),,IF(E32*5/40&gt;5,5,E32*5/40))),IF(INTRO!$D$1=info!$C$12,IF(E32="","",IF(ISERROR(E32*5/20),,IF(E32*5/20&gt;5,5,E32*5/20))),)))))</f>
        <v/>
      </c>
      <c r="G32" s="71"/>
    </row>
    <row r="33" spans="1:7" ht="48.75" customHeight="1" x14ac:dyDescent="0.3">
      <c r="A33" s="357" t="s">
        <v>112</v>
      </c>
      <c r="B33" s="358"/>
      <c r="C33" s="30" t="str">
        <f>IF(INTRO!$D$1=info!$C$10,IF(CDS!C104="","",CDS!C104),"")</f>
        <v/>
      </c>
      <c r="D33" s="30" t="str">
        <f>IF(INTRO!$D$1=info!$C$10,IF(CDS!C105="","",CDS!C105),"")</f>
        <v/>
      </c>
      <c r="E33" s="30" t="str">
        <f>IF(INTRO!$D$1=info!$C$10,IF(COUNTBLANK(C33:D33)=2,"",IF(ISERROR(C33/D33),,C33/D33)),"")</f>
        <v/>
      </c>
      <c r="F33" s="30" t="str">
        <f>IF(E33="","",IF(INTRO!H7=info!C15,IF(ISERROR(E33*5/2.5),,IF(E33*5/2.5&gt;5,5,E33*5/2.5)),IF(INTRO!H7=info!C16,IF(ISERROR(E33*5/3),,IF(E33*5/3&gt;5,5,E33*5/3)),IF(INTRO!H7=info!C17,IF(ISERROR(E33*5/0.25),,IF(E33*5/0.25&gt;5,5,E33*5/0.25)),""))))</f>
        <v/>
      </c>
      <c r="G33" s="71"/>
    </row>
    <row r="34" spans="1:7" ht="20.25" x14ac:dyDescent="0.3">
      <c r="A34" s="144" t="s">
        <v>116</v>
      </c>
      <c r="B34" s="47"/>
      <c r="C34" s="72"/>
      <c r="D34" s="92"/>
      <c r="E34" s="104" t="s">
        <v>47</v>
      </c>
      <c r="F34" s="30" t="str">
        <f>IF(E34="เลือก","",E34)</f>
        <v/>
      </c>
      <c r="G34" s="71"/>
    </row>
    <row r="35" spans="1:7" ht="21" x14ac:dyDescent="0.3">
      <c r="A35" s="143" t="s">
        <v>12</v>
      </c>
      <c r="B35" s="50"/>
      <c r="C35" s="50"/>
      <c r="D35" s="50"/>
      <c r="E35" s="50"/>
      <c r="F35" s="50"/>
      <c r="G35" s="255"/>
    </row>
    <row r="36" spans="1:7" ht="20.25" x14ac:dyDescent="0.3">
      <c r="A36" s="144" t="s">
        <v>117</v>
      </c>
      <c r="B36" s="47"/>
      <c r="C36" s="72"/>
      <c r="D36" s="92"/>
      <c r="E36" s="104" t="s">
        <v>47</v>
      </c>
      <c r="F36" s="30" t="str">
        <f t="shared" ref="F36:F38" si="1">IF(E36="เลือก","",E36)</f>
        <v/>
      </c>
      <c r="G36" s="71"/>
    </row>
    <row r="37" spans="1:7" ht="20.25" x14ac:dyDescent="0.3">
      <c r="A37" s="144" t="s">
        <v>118</v>
      </c>
      <c r="B37" s="103"/>
      <c r="C37" s="72"/>
      <c r="D37" s="92"/>
      <c r="E37" s="104" t="s">
        <v>47</v>
      </c>
      <c r="F37" s="30" t="str">
        <f t="shared" si="1"/>
        <v/>
      </c>
      <c r="G37" s="71"/>
    </row>
    <row r="38" spans="1:7" ht="20.25" x14ac:dyDescent="0.3">
      <c r="A38" s="144" t="s">
        <v>119</v>
      </c>
      <c r="B38" s="47"/>
      <c r="C38" s="72"/>
      <c r="D38" s="92"/>
      <c r="E38" s="104" t="s">
        <v>47</v>
      </c>
      <c r="F38" s="30" t="str">
        <f t="shared" si="1"/>
        <v/>
      </c>
      <c r="G38" s="71"/>
    </row>
    <row r="39" spans="1:7" ht="20.25" x14ac:dyDescent="0.3">
      <c r="A39" s="144" t="s">
        <v>120</v>
      </c>
      <c r="B39" s="103"/>
      <c r="C39" s="72"/>
      <c r="D39" s="92"/>
      <c r="E39" s="30" t="str">
        <f>IF(TQF!C21="","",TQF!C21)</f>
        <v/>
      </c>
      <c r="F39" s="30" t="str">
        <f>IF(E39="","",IF(E39&lt;80,,IF(AND(E39&gt;80,E39&lt;90),4,IF(AND(E39&gt;=90,E39&lt;95),4.5,IF(AND(E39&gt;=95,,100),4.75,IF(E39&gt;=100,5,))))))</f>
        <v/>
      </c>
      <c r="G39" s="71"/>
    </row>
    <row r="40" spans="1:7" ht="21" x14ac:dyDescent="0.3">
      <c r="A40" s="143" t="s">
        <v>13</v>
      </c>
      <c r="B40" s="50"/>
      <c r="C40" s="50"/>
      <c r="D40" s="50"/>
      <c r="E40" s="50"/>
      <c r="F40" s="50"/>
      <c r="G40" s="255"/>
    </row>
    <row r="41" spans="1:7" ht="21" thickBot="1" x14ac:dyDescent="0.35">
      <c r="A41" s="146" t="s">
        <v>121</v>
      </c>
      <c r="B41" s="147"/>
      <c r="C41" s="148"/>
      <c r="D41" s="149"/>
      <c r="E41" s="155" t="s">
        <v>47</v>
      </c>
      <c r="F41" s="156" t="str">
        <f t="shared" ref="F41" si="2">IF(E41="เลือก","",E41)</f>
        <v/>
      </c>
      <c r="G41" s="150"/>
    </row>
    <row r="42" spans="1:7" ht="20.25" customHeight="1" x14ac:dyDescent="0.3">
      <c r="A42" s="194" t="str">
        <f>"คะแนนเฉลี่ยตัวบ่งชี้ องค์ประกอบที่ 2 - 6  ( จำนวน "  &amp;E43&amp; "  ตัวบ่งชี้)"</f>
        <v>คะแนนเฉลี่ยตัวบ่งชี้ องค์ประกอบที่ 2 - 6  ( จำนวน   ตัวบ่งชี้)</v>
      </c>
      <c r="B42" s="195"/>
      <c r="C42" s="195"/>
      <c r="D42" s="196"/>
      <c r="E42" s="191" t="str">
        <f>IF(COUNTBLANK(F21:F22)+COUNTBLANK(F24:F26)+COUNTBLANK(F28)+COUNTBLANK(F29)+COUNTBLANK(F34)+COUNTBLANK(F36:F39)+COUNTBLANK(F41)=13,"",SUM(F21:F22,F24:F26,F28,F29,F34,F36:F39,F41))</f>
        <v/>
      </c>
      <c r="F42" s="359" t="str">
        <f>IF(E19="ไม่ผ่าน",,IF(OR(ISBLANK(E42),ISBLANK(E43)),"",IF(ISERROR(E42/E43),"",E42/E43)))</f>
        <v/>
      </c>
      <c r="G42" s="353" t="str">
        <f>IF(F42="","",IF(AND(F42&gt;0,F42&lt;2.01),"หลักสูตรเป็นไปตามมาตรฐาน และมีระดับคุณภาพน้อย",IF(AND(F42&gt;2,F42&lt;3.01),"หลักสูตรเป็นไปตามมาตรฐาน และมีระดับคุณภาพปานกลาง",IF(AND(F42&gt;3,F42&lt;4.01),"หลักสูตรเป็นไปตามมาตรฐาน และมีระดับคุณภาพดี",IF(AND(F42&gt;4,F42&lt;5.01),"หลักสูตรเป็นไปตามมาตรฐาน และมีระดับคุณภาพดีมาก",IF(F42&gt;5,"ข้อมูลไม่ถูกต้อง คะแนนเต็ม 5.00 คะแนน","หลักสูตรไม่เป็นไปตามมาตรฐาน"))))))</f>
        <v/>
      </c>
    </row>
    <row r="43" spans="1:7" ht="21.75" customHeight="1" thickBot="1" x14ac:dyDescent="0.35">
      <c r="A43" s="197"/>
      <c r="B43" s="198"/>
      <c r="C43" s="198"/>
      <c r="D43" s="199"/>
      <c r="E43" s="192" t="str">
        <f>IF(COUNTBLANK(F21:F22)+COUNTBLANK(F24:F26)+COUNTBLANK(F28)+COUNTBLANK(F29)+COUNTBLANK(F34)+COUNTBLANK(F36:F39)+COUNTBLANK(F41)=13,"",COUNT(F21:F22,F24:F26,F28,F29,F34,F36:F39,F41))</f>
        <v/>
      </c>
      <c r="F43" s="360"/>
      <c r="G43" s="354"/>
    </row>
    <row r="45" spans="1:7" x14ac:dyDescent="0.3">
      <c r="F45" s="256"/>
    </row>
  </sheetData>
  <sheetProtection algorithmName="SHA-512" hashValue="f/KlUlpRr21XL5dvlJlDDvOkiqsMCISOZdxwPgZIGGC5EMhj2jQ7c9lVCSchS6GkwOyf0wx/t9tJE4G58nSsWw==" saltValue="IRnFEqoPGxjWoQkSO1Vy9g==" spinCount="100000" sheet="1" objects="1" scenarios="1"/>
  <mergeCells count="13">
    <mergeCell ref="G42:G43"/>
    <mergeCell ref="A30:B30"/>
    <mergeCell ref="A31:B31"/>
    <mergeCell ref="A33:B33"/>
    <mergeCell ref="A32:B32"/>
    <mergeCell ref="F42:F43"/>
    <mergeCell ref="A17:G17"/>
    <mergeCell ref="A18:G18"/>
    <mergeCell ref="G3:G4"/>
    <mergeCell ref="A3:B4"/>
    <mergeCell ref="A5:G5"/>
    <mergeCell ref="A6:G6"/>
    <mergeCell ref="C3:F3"/>
  </mergeCells>
  <conditionalFormatting sqref="B7:B16">
    <cfRule type="cellIs" dxfId="84" priority="92" operator="equal">
      <formula>"ยังไม่ได้เลือกระดับการประเมินหลักสูตร"</formula>
    </cfRule>
  </conditionalFormatting>
  <conditionalFormatting sqref="E7:F16">
    <cfRule type="cellIs" dxfId="83" priority="90" operator="equal">
      <formula>"ไม่ผ่าน"</formula>
    </cfRule>
    <cfRule type="cellIs" dxfId="82" priority="91" operator="equal">
      <formula>"ผ่าน"</formula>
    </cfRule>
  </conditionalFormatting>
  <conditionalFormatting sqref="G21:G22">
    <cfRule type="containsBlanks" dxfId="81" priority="89">
      <formula>LEN(TRIM(G21))=0</formula>
    </cfRule>
  </conditionalFormatting>
  <conditionalFormatting sqref="B22">
    <cfRule type="cellIs" dxfId="80" priority="88" operator="equal">
      <formula>"ยังไม่ได้เลือกระดับการประเมินหลักสูตร"</formula>
    </cfRule>
  </conditionalFormatting>
  <conditionalFormatting sqref="C30:F33 E7:E16">
    <cfRule type="containsBlanks" dxfId="79" priority="86">
      <formula>LEN(TRIM(C7))=0</formula>
    </cfRule>
  </conditionalFormatting>
  <conditionalFormatting sqref="C21:F22">
    <cfRule type="containsBlanks" dxfId="78" priority="85">
      <formula>LEN(TRIM(C21))=0</formula>
    </cfRule>
  </conditionalFormatting>
  <conditionalFormatting sqref="G7:G16">
    <cfRule type="containsBlanks" dxfId="77" priority="47">
      <formula>LEN(TRIM(G7))=0</formula>
    </cfRule>
    <cfRule type="containsBlanks" dxfId="76" priority="84">
      <formula>LEN(TRIM(G7))=0</formula>
    </cfRule>
  </conditionalFormatting>
  <conditionalFormatting sqref="G21:G22">
    <cfRule type="containsBlanks" dxfId="75" priority="46">
      <formula>LEN(TRIM(G21))=0</formula>
    </cfRule>
    <cfRule type="containsBlanks" dxfId="74" priority="81">
      <formula>LEN(TRIM(G21))=0</formula>
    </cfRule>
  </conditionalFormatting>
  <conditionalFormatting sqref="G28:G33">
    <cfRule type="containsBlanks" dxfId="73" priority="75">
      <formula>LEN(TRIM(G28))=0</formula>
    </cfRule>
  </conditionalFormatting>
  <conditionalFormatting sqref="G34">
    <cfRule type="containsBlanks" dxfId="72" priority="65">
      <formula>LEN(TRIM(G34))=0</formula>
    </cfRule>
  </conditionalFormatting>
  <conditionalFormatting sqref="G28:G33">
    <cfRule type="containsBlanks" dxfId="71" priority="76">
      <formula>LEN(TRIM(G28))=0</formula>
    </cfRule>
  </conditionalFormatting>
  <conditionalFormatting sqref="G34">
    <cfRule type="containsBlanks" dxfId="70" priority="66">
      <formula>LEN(TRIM(G34))=0</formula>
    </cfRule>
  </conditionalFormatting>
  <conditionalFormatting sqref="G36:G39">
    <cfRule type="containsBlanks" dxfId="69" priority="62">
      <formula>LEN(TRIM(G36))=0</formula>
    </cfRule>
  </conditionalFormatting>
  <conditionalFormatting sqref="G36:G39">
    <cfRule type="containsBlanks" dxfId="68" priority="61">
      <formula>LEN(TRIM(G36))=0</formula>
    </cfRule>
  </conditionalFormatting>
  <conditionalFormatting sqref="G41">
    <cfRule type="containsBlanks" dxfId="67" priority="58">
      <formula>LEN(TRIM(G41))=0</formula>
    </cfRule>
  </conditionalFormatting>
  <conditionalFormatting sqref="G41">
    <cfRule type="containsBlanks" dxfId="66" priority="57">
      <formula>LEN(TRIM(G41))=0</formula>
    </cfRule>
  </conditionalFormatting>
  <conditionalFormatting sqref="C29:F29">
    <cfRule type="containsBlanks" dxfId="65" priority="40">
      <formula>LEN(TRIM(C29))=0</formula>
    </cfRule>
  </conditionalFormatting>
  <conditionalFormatting sqref="G24:G26">
    <cfRule type="containsBlanks" dxfId="64" priority="44">
      <formula>LEN(TRIM(G24))=0</formula>
    </cfRule>
  </conditionalFormatting>
  <conditionalFormatting sqref="G24:G26">
    <cfRule type="containsBlanks" dxfId="63" priority="43">
      <formula>LEN(TRIM(G24))=0</formula>
    </cfRule>
  </conditionalFormatting>
  <conditionalFormatting sqref="G19">
    <cfRule type="containsBlanks" dxfId="62" priority="33">
      <formula>LEN(TRIM(G19))=0</formula>
    </cfRule>
    <cfRule type="containsBlanks" dxfId="61" priority="34">
      <formula>LEN(TRIM(G19))=0</formula>
    </cfRule>
  </conditionalFormatting>
  <conditionalFormatting sqref="F34">
    <cfRule type="containsBlanks" dxfId="60" priority="95">
      <formula>LEN(TRIM(F34))=0</formula>
    </cfRule>
  </conditionalFormatting>
  <conditionalFormatting sqref="E42:E43">
    <cfRule type="containsBlanks" dxfId="59" priority="96">
      <formula>LEN(TRIM(E42))=0</formula>
    </cfRule>
  </conditionalFormatting>
  <conditionalFormatting sqref="E19">
    <cfRule type="cellIs" dxfId="58" priority="25" operator="equal">
      <formula>"ไม่ผ่าน"</formula>
    </cfRule>
    <cfRule type="cellIs" dxfId="57" priority="26" operator="equal">
      <formula>"ผ่าน"</formula>
    </cfRule>
  </conditionalFormatting>
  <conditionalFormatting sqref="E19">
    <cfRule type="containsBlanks" dxfId="56" priority="24">
      <formula>LEN(TRIM(E19))=0</formula>
    </cfRule>
  </conditionalFormatting>
  <conditionalFormatting sqref="E34">
    <cfRule type="cellIs" dxfId="55" priority="23" operator="equal">
      <formula>"เลือก"</formula>
    </cfRule>
  </conditionalFormatting>
  <conditionalFormatting sqref="E36:E38">
    <cfRule type="cellIs" dxfId="54" priority="21" operator="equal">
      <formula>"เลือก"</formula>
    </cfRule>
  </conditionalFormatting>
  <conditionalFormatting sqref="F36:F38">
    <cfRule type="containsBlanks" dxfId="53" priority="20">
      <formula>LEN(TRIM(F36))=0</formula>
    </cfRule>
  </conditionalFormatting>
  <conditionalFormatting sqref="E24">
    <cfRule type="cellIs" dxfId="52" priority="19" operator="equal">
      <formula>"เลือก"</formula>
    </cfRule>
  </conditionalFormatting>
  <conditionalFormatting sqref="F24">
    <cfRule type="containsBlanks" dxfId="51" priority="18">
      <formula>LEN(TRIM(F24))=0</formula>
    </cfRule>
  </conditionalFormatting>
  <conditionalFormatting sqref="E25:E26">
    <cfRule type="cellIs" dxfId="50" priority="17" operator="equal">
      <formula>"เลือก"</formula>
    </cfRule>
  </conditionalFormatting>
  <conditionalFormatting sqref="F25:F26">
    <cfRule type="containsBlanks" dxfId="49" priority="16">
      <formula>LEN(TRIM(F25))=0</formula>
    </cfRule>
  </conditionalFormatting>
  <conditionalFormatting sqref="E28">
    <cfRule type="cellIs" dxfId="48" priority="15" operator="equal">
      <formula>"เลือก"</formula>
    </cfRule>
  </conditionalFormatting>
  <conditionalFormatting sqref="F28">
    <cfRule type="containsBlanks" dxfId="47" priority="14">
      <formula>LEN(TRIM(F28))=0</formula>
    </cfRule>
  </conditionalFormatting>
  <conditionalFormatting sqref="F42">
    <cfRule type="containsBlanks" dxfId="46" priority="3">
      <formula>LEN(TRIM(F42))=0</formula>
    </cfRule>
    <cfRule type="cellIs" dxfId="45" priority="13" operator="equal">
      <formula>0</formula>
    </cfRule>
  </conditionalFormatting>
  <conditionalFormatting sqref="E39:F39">
    <cfRule type="containsBlanks" dxfId="44" priority="12">
      <formula>LEN(TRIM(E39))=0</formula>
    </cfRule>
  </conditionalFormatting>
  <conditionalFormatting sqref="E41">
    <cfRule type="cellIs" dxfId="43" priority="10" operator="equal">
      <formula>"เลือก"</formula>
    </cfRule>
  </conditionalFormatting>
  <conditionalFormatting sqref="F41">
    <cfRule type="containsBlanks" dxfId="42" priority="9">
      <formula>LEN(TRIM(F41))=0</formula>
    </cfRule>
  </conditionalFormatting>
  <conditionalFormatting sqref="G42">
    <cfRule type="containsBlanks" dxfId="41" priority="4">
      <formula>LEN(TRIM(G42))=0</formula>
    </cfRule>
  </conditionalFormatting>
  <conditionalFormatting sqref="F19">
    <cfRule type="cellIs" dxfId="40" priority="1" operator="equal">
      <formula>"ไม่ผ่าน"</formula>
    </cfRule>
    <cfRule type="cellIs" dxfId="39" priority="2" operator="equal">
      <formula>"ผ่าน"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&amp;R&amp;G</oddHeader>
    <oddFooter>&amp;L&amp;"Browallia New,ธรรมดา"&amp;12สรุปผลการประเมินหลักสูตร&amp;R&amp;"Browallia New,ธรรมดา"&amp;12หน้าที่ &amp;P/&amp;N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7" operator="equal" id="{2277E7A7-9563-4376-A380-9E02E2DC46F2}">
            <xm:f>info!$C$29</xm:f>
            <x14:dxf>
              <font>
                <b/>
                <i val="0"/>
                <color rgb="FFFF0000"/>
              </font>
            </x14:dxf>
          </x14:cfRule>
          <xm:sqref>B7:B16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info!$G$14:$G$20</xm:f>
          </x14:formula1>
          <xm:sqref>E34 E28 E24:E26 E36:E38 E41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opLeftCell="B37" workbookViewId="0">
      <selection activeCell="N2" sqref="N2"/>
    </sheetView>
  </sheetViews>
  <sheetFormatPr defaultColWidth="9" defaultRowHeight="14.25" x14ac:dyDescent="0.2"/>
  <cols>
    <col min="1" max="1" width="1.125" style="6" customWidth="1"/>
    <col min="2" max="2" width="11.125" style="6" customWidth="1"/>
    <col min="3" max="3" width="12.875" style="6" customWidth="1"/>
    <col min="4" max="4" width="6.75" style="6" customWidth="1"/>
    <col min="5" max="5" width="8.75" style="6" customWidth="1"/>
    <col min="6" max="8" width="9" style="6"/>
    <col min="9" max="9" width="10.125" style="6" customWidth="1"/>
    <col min="10" max="10" width="22.875" style="6" customWidth="1"/>
    <col min="11" max="11" width="27.375" style="6" customWidth="1"/>
    <col min="12" max="16384" width="9" style="6"/>
  </cols>
  <sheetData>
    <row r="1" spans="2:11" ht="23.25" x14ac:dyDescent="0.2">
      <c r="B1" s="361" t="s">
        <v>33</v>
      </c>
      <c r="C1" s="361"/>
      <c r="D1" s="368" t="str">
        <f>IF(INTRO!C2="","",INTRO!C2)</f>
        <v/>
      </c>
      <c r="E1" s="368"/>
      <c r="F1" s="368"/>
      <c r="G1" s="368"/>
      <c r="H1" s="368"/>
      <c r="I1" s="368"/>
      <c r="J1" s="248" t="s">
        <v>314</v>
      </c>
      <c r="K1" s="132" t="str">
        <f>IF(INTRO!C7="","",INTRO!C7)</f>
        <v>เลือกหน่วยงาน</v>
      </c>
    </row>
    <row r="2" spans="2:11" s="249" customFormat="1" ht="38.25" customHeight="1" x14ac:dyDescent="0.2">
      <c r="B2" s="243" t="s">
        <v>315</v>
      </c>
      <c r="C2" s="244"/>
      <c r="D2" s="244"/>
      <c r="E2" s="244"/>
      <c r="F2" s="244"/>
      <c r="G2" s="244"/>
      <c r="H2" s="244"/>
      <c r="I2" s="245"/>
      <c r="J2" s="246"/>
      <c r="K2" s="247"/>
    </row>
    <row r="3" spans="2:11" ht="23.25" customHeight="1" x14ac:dyDescent="0.2">
      <c r="B3" s="366" t="s">
        <v>311</v>
      </c>
      <c r="C3" s="366" t="s">
        <v>312</v>
      </c>
      <c r="D3" s="366" t="s">
        <v>304</v>
      </c>
      <c r="E3" s="381" t="s">
        <v>305</v>
      </c>
      <c r="F3" s="382"/>
      <c r="G3" s="382"/>
      <c r="H3" s="382"/>
      <c r="I3" s="383"/>
      <c r="J3" s="366" t="s">
        <v>306</v>
      </c>
      <c r="K3" s="366" t="s">
        <v>211</v>
      </c>
    </row>
    <row r="4" spans="2:11" ht="23.25" customHeight="1" x14ac:dyDescent="0.2">
      <c r="B4" s="367"/>
      <c r="C4" s="367"/>
      <c r="D4" s="367"/>
      <c r="E4" s="232" t="s">
        <v>307</v>
      </c>
      <c r="F4" s="232" t="s">
        <v>308</v>
      </c>
      <c r="G4" s="232" t="s">
        <v>309</v>
      </c>
      <c r="H4" s="381" t="s">
        <v>310</v>
      </c>
      <c r="I4" s="383"/>
      <c r="J4" s="367"/>
      <c r="K4" s="367"/>
    </row>
    <row r="5" spans="2:11" ht="27" customHeight="1" x14ac:dyDescent="0.2">
      <c r="B5" s="236">
        <v>1</v>
      </c>
      <c r="C5" s="386" t="str">
        <f>IF(Result!E19="","",IF(Result!E19="ไม่ผ่าน","ไม่ผ่านการประเมิน","ผ่านการประเมิน"))</f>
        <v>ผ่านการประเมิน</v>
      </c>
      <c r="D5" s="387"/>
      <c r="E5" s="387"/>
      <c r="F5" s="387"/>
      <c r="G5" s="387"/>
      <c r="H5" s="387"/>
      <c r="I5" s="387"/>
      <c r="J5" s="388"/>
      <c r="K5" s="250"/>
    </row>
    <row r="6" spans="2:11" ht="27" customHeight="1" x14ac:dyDescent="0.2">
      <c r="B6" s="236">
        <v>2</v>
      </c>
      <c r="C6" s="369" t="s">
        <v>313</v>
      </c>
      <c r="D6" s="239">
        <v>2</v>
      </c>
      <c r="E6" s="234" t="s">
        <v>34</v>
      </c>
      <c r="F6" s="234" t="s">
        <v>34</v>
      </c>
      <c r="G6" s="233" t="str">
        <f>IF(COUNTBLANK(Result!F21:F22)=2,"",IF(ISERROR(SUM(Result!F21:F22)/COUNT(Result!F21:F22)),,AVERAGE(Result!F21:F22)))</f>
        <v/>
      </c>
      <c r="H6" s="364" t="str">
        <f>IF(COUNTBLANK(Result!F21:F22)=2,"",IF(ISERROR(SUM(Result!F21:F22)/COUNT(Result!F21:F22)),,AVERAGE(Result!F21:F22)))</f>
        <v/>
      </c>
      <c r="I6" s="365"/>
      <c r="J6" s="237" t="str">
        <f>IF(H6=""," ",IF(AND(H6&gt;0,H6&lt;2.01),"ระดับคุณภาพน้อย",IF(AND(H6&gt;2,H6&lt;3.01),"ระดับคุณภาพปานกลาง",IF(AND(H6&gt;3,H6&lt;4.01),"ระดับคุณภาพดี",IF(H6&gt;4,"ระดับคุณภาพดีมาก","ไม่ได้มาตรฐาน")))))</f>
        <v xml:space="preserve"> </v>
      </c>
      <c r="K6" s="251"/>
    </row>
    <row r="7" spans="2:11" ht="27" customHeight="1" x14ac:dyDescent="0.2">
      <c r="B7" s="236">
        <v>3</v>
      </c>
      <c r="C7" s="370"/>
      <c r="D7" s="239">
        <v>3</v>
      </c>
      <c r="E7" s="240" t="str">
        <f>IF(COUNTBLANK(Result!F24:F26)=3,"",AVERAGE(Result!F24:F26))</f>
        <v/>
      </c>
      <c r="F7" s="234" t="s">
        <v>34</v>
      </c>
      <c r="G7" s="234" t="s">
        <v>34</v>
      </c>
      <c r="H7" s="364" t="str">
        <f>IF(COUNTBLANK(Result!F24:F26)=3,"",AVERAGE(Result!F24:F26))</f>
        <v/>
      </c>
      <c r="I7" s="365"/>
      <c r="J7" s="237" t="str">
        <f t="shared" ref="J7:J12" si="0">IF(H7=""," ",IF(AND(H7&gt;0,H7&lt;2.01),"ระดับคุณภาพน้อย",IF(AND(H7&gt;2,H7&lt;3.01),"ระดับคุณภาพปานกลาง",IF(AND(H7&gt;3,H7&lt;4.01),"ระดับคุณภาพดี",IF(H7&gt;4,"ระดับคุณภาพดีมาก","ไม่ได้มาตรฐาน")))))</f>
        <v xml:space="preserve"> </v>
      </c>
      <c r="K7" s="251"/>
    </row>
    <row r="8" spans="2:11" ht="27" customHeight="1" x14ac:dyDescent="0.2">
      <c r="B8" s="236">
        <v>4</v>
      </c>
      <c r="C8" s="370"/>
      <c r="D8" s="239">
        <v>3</v>
      </c>
      <c r="E8" s="240" t="str">
        <f>IF(COUNTBLANK(Result!F28:F29)+COUNTBLANK(Result!F34)=3,"",AVERAGE(Result!F28:F29,Result!F34))</f>
        <v/>
      </c>
      <c r="F8" s="234" t="s">
        <v>34</v>
      </c>
      <c r="G8" s="234" t="s">
        <v>34</v>
      </c>
      <c r="H8" s="364" t="str">
        <f>IF(COUNTBLANK(Result!F28:F29)+COUNTBLANK(Result!F34)=3,"",AVERAGE(Result!F28:F29,Result!F34))</f>
        <v/>
      </c>
      <c r="I8" s="365"/>
      <c r="J8" s="237" t="str">
        <f t="shared" si="0"/>
        <v xml:space="preserve"> </v>
      </c>
      <c r="K8" s="251"/>
    </row>
    <row r="9" spans="2:11" ht="27" customHeight="1" x14ac:dyDescent="0.2">
      <c r="B9" s="236">
        <v>5</v>
      </c>
      <c r="C9" s="370"/>
      <c r="D9" s="239">
        <v>4</v>
      </c>
      <c r="E9" s="240" t="str">
        <f>IF(Result!F36="","",Result!F36)</f>
        <v/>
      </c>
      <c r="F9" s="233" t="str">
        <f>IF(COUNTBLANK(Result!F37:F39)=3,"",AVERAGE(Result!F37:F39))</f>
        <v/>
      </c>
      <c r="G9" s="234" t="s">
        <v>34</v>
      </c>
      <c r="H9" s="364" t="str">
        <f>IF(COUNTBLANK(Result!F36:F39)=4,"",AVERAGE(Result!F36:F39))</f>
        <v/>
      </c>
      <c r="I9" s="365"/>
      <c r="J9" s="237" t="str">
        <f t="shared" si="0"/>
        <v xml:space="preserve"> </v>
      </c>
      <c r="K9" s="252"/>
    </row>
    <row r="10" spans="2:11" ht="27" customHeight="1" x14ac:dyDescent="0.2">
      <c r="B10" s="236">
        <v>6</v>
      </c>
      <c r="C10" s="371"/>
      <c r="D10" s="239">
        <v>1</v>
      </c>
      <c r="E10" s="234" t="s">
        <v>34</v>
      </c>
      <c r="F10" s="233" t="str">
        <f>IF(Result!F41="","",Result!F41)</f>
        <v/>
      </c>
      <c r="G10" s="234" t="s">
        <v>34</v>
      </c>
      <c r="H10" s="372" t="str">
        <f>IF(Result!F41="","",Result!F41)</f>
        <v/>
      </c>
      <c r="I10" s="373"/>
      <c r="J10" s="237" t="str">
        <f t="shared" si="0"/>
        <v xml:space="preserve"> </v>
      </c>
      <c r="K10" s="254"/>
    </row>
    <row r="11" spans="2:11" ht="27" customHeight="1" x14ac:dyDescent="0.2">
      <c r="B11" s="374" t="s">
        <v>304</v>
      </c>
      <c r="C11" s="375"/>
      <c r="D11" s="241">
        <f>SUM(D6:D10)</f>
        <v>13</v>
      </c>
      <c r="E11" s="241">
        <v>7</v>
      </c>
      <c r="F11" s="241">
        <v>4</v>
      </c>
      <c r="G11" s="242">
        <v>2</v>
      </c>
      <c r="H11" s="376"/>
      <c r="I11" s="377"/>
      <c r="J11" s="378"/>
      <c r="K11" s="254"/>
    </row>
    <row r="12" spans="2:11" ht="27" customHeight="1" x14ac:dyDescent="0.2">
      <c r="B12" s="381" t="s">
        <v>305</v>
      </c>
      <c r="C12" s="382"/>
      <c r="D12" s="238" t="s">
        <v>34</v>
      </c>
      <c r="E12" s="233" t="str">
        <f>IF(COUNTBLANK(Result!F24:F26)+COUNTBLANK(Result!F28:F29)+COUNTBLANK(Result!F34)+COUNTBLANK(Result!F36)=7,"",AVERAGE(Result!F24:F26,Result!F28:F29,Result!F34,Result!F36))</f>
        <v/>
      </c>
      <c r="F12" s="233" t="str">
        <f>IF(COUNTBLANK(Result!F37:F39)+COUNTBLANK(Result!F41)=4,"",AVERAGE(Result!F37:F39,Result!F41))</f>
        <v/>
      </c>
      <c r="G12" s="233" t="str">
        <f>IF(COUNTBLANK(Result!F21:F22)=2,"",AVERAGE(Result!F21:F22))</f>
        <v/>
      </c>
      <c r="H12" s="389" t="str">
        <f>IF(COUNTBLANK(Result!F21:F22)+COUNTBLANK(Result!F24:F26)+COUNTBLANK(Result!F28:F29)
+COUNTBLANK(Result!F34)+COUNTBLANK(Result!F36:F39)+COUNTBLANK(Result!F41)=13,"",AVERAGE(Result!F21:F22,Result!F24:F26,Result!F28:F29,Result!F34,Result!F36:F39,Result!F41))</f>
        <v/>
      </c>
      <c r="I12" s="390"/>
      <c r="J12" s="257" t="str">
        <f t="shared" si="0"/>
        <v xml:space="preserve"> </v>
      </c>
      <c r="K12" s="253"/>
    </row>
    <row r="13" spans="2:11" ht="90.75" customHeight="1" x14ac:dyDescent="0.2">
      <c r="B13" s="379" t="s">
        <v>306</v>
      </c>
      <c r="C13" s="380"/>
      <c r="D13" s="235"/>
      <c r="E13" s="237" t="str">
        <f>IF(E12=""," ",IF(AND(E12&gt;0,E12&lt;2.01),"ระดับคุณภาพน้อย",IF(AND(E12&gt;2,E12&lt;3.01),"ระดับคุณภาพปานกลาง",IF(AND(E12&gt;3,E12&lt;4.01),"ระดับคุณภาพดี",IF(E12&gt;4,"ระดับคุณภาพดีมาก","ไม่ได้มาตรฐาน")))))</f>
        <v xml:space="preserve"> </v>
      </c>
      <c r="F13" s="237" t="str">
        <f t="shared" ref="F13:G13" si="1">IF(F12=""," ",IF(AND(F12&gt;0,F12&lt;2.01),"ระดับคุณภาพน้อย",IF(AND(F12&gt;2,F12&lt;3.01),"ระดับคุณภาพปานกลาง",IF(AND(F12&gt;3,F12&lt;4.01),"ระดับคุณภาพดี",IF(F12&gt;4,"ระดับคุณภาพดีมาก","ไม่ได้มาตรฐาน")))))</f>
        <v xml:space="preserve"> </v>
      </c>
      <c r="G13" s="237" t="str">
        <f t="shared" si="1"/>
        <v xml:space="preserve"> </v>
      </c>
      <c r="H13" s="362"/>
      <c r="I13" s="363"/>
      <c r="J13" s="384" t="s">
        <v>322</v>
      </c>
      <c r="K13" s="385"/>
    </row>
  </sheetData>
  <sheetProtection algorithmName="SHA-512" hashValue="wtRZW2H3RhtPx6EDU7lLfhlJFB0JlogGEXzw0Y5tjp8Lxbt7RsoCdseXe4yp3lBd/uQDKtLQC25TDvpPqMlWcA==" saltValue="SdTlhmpR60Tl6xL+J30wiA==" spinCount="100000" sheet="1" objects="1" scenarios="1"/>
  <mergeCells count="23">
    <mergeCell ref="C5:J5"/>
    <mergeCell ref="K3:K4"/>
    <mergeCell ref="H4:I4"/>
    <mergeCell ref="H6:I6"/>
    <mergeCell ref="B12:C12"/>
    <mergeCell ref="H12:I12"/>
    <mergeCell ref="J3:J4"/>
    <mergeCell ref="B1:C1"/>
    <mergeCell ref="H13:I13"/>
    <mergeCell ref="H7:I7"/>
    <mergeCell ref="H8:I8"/>
    <mergeCell ref="H9:I9"/>
    <mergeCell ref="B3:B4"/>
    <mergeCell ref="D1:I1"/>
    <mergeCell ref="C6:C10"/>
    <mergeCell ref="D3:D4"/>
    <mergeCell ref="H10:I10"/>
    <mergeCell ref="B11:C11"/>
    <mergeCell ref="H11:J11"/>
    <mergeCell ref="C3:C4"/>
    <mergeCell ref="B13:C13"/>
    <mergeCell ref="E3:I3"/>
    <mergeCell ref="J13:K13"/>
  </mergeCells>
  <conditionalFormatting sqref="D6:D10">
    <cfRule type="containsBlanks" dxfId="37" priority="28">
      <formula>LEN(TRIM(D6))=0</formula>
    </cfRule>
  </conditionalFormatting>
  <conditionalFormatting sqref="D12">
    <cfRule type="containsBlanks" dxfId="36" priority="3">
      <formula>LEN(TRIM(D12))=0</formula>
    </cfRule>
  </conditionalFormatting>
  <conditionalFormatting sqref="E6:I10 E12:I12">
    <cfRule type="containsBlanks" dxfId="35" priority="43">
      <formula>LEN(TRIM(E6))=0</formula>
    </cfRule>
  </conditionalFormatting>
  <conditionalFormatting sqref="E10">
    <cfRule type="containsBlanks" dxfId="34" priority="16">
      <formula>LEN(TRIM(E10))=0</formula>
    </cfRule>
  </conditionalFormatting>
  <conditionalFormatting sqref="E6:G6">
    <cfRule type="containsBlanks" dxfId="33" priority="41">
      <formula>LEN(TRIM(E6))=0</formula>
    </cfRule>
  </conditionalFormatting>
  <conditionalFormatting sqref="F6:I6 H7:I8">
    <cfRule type="containsBlanks" dxfId="32" priority="40">
      <formula>LEN(TRIM(F6))=0</formula>
    </cfRule>
  </conditionalFormatting>
  <conditionalFormatting sqref="F7:F8 H7:I8">
    <cfRule type="containsBlanks" dxfId="31" priority="39">
      <formula>LEN(TRIM(F7))=0</formula>
    </cfRule>
  </conditionalFormatting>
  <conditionalFormatting sqref="E8:I8 E9:E10 G9:G10">
    <cfRule type="containsBlanks" dxfId="30" priority="38">
      <formula>LEN(TRIM(E8))=0</formula>
    </cfRule>
  </conditionalFormatting>
  <conditionalFormatting sqref="F9:I10">
    <cfRule type="containsBlanks" dxfId="29" priority="37">
      <formula>LEN(TRIM(F9))=0</formula>
    </cfRule>
  </conditionalFormatting>
  <conditionalFormatting sqref="E12:I12">
    <cfRule type="containsBlanks" dxfId="28" priority="36">
      <formula>LEN(TRIM(E12))=0</formula>
    </cfRule>
  </conditionalFormatting>
  <conditionalFormatting sqref="K5:K12">
    <cfRule type="containsBlanks" dxfId="27" priority="35">
      <formula>LEN(TRIM(K5))=0</formula>
    </cfRule>
  </conditionalFormatting>
  <conditionalFormatting sqref="D11 C5:C6">
    <cfRule type="containsBlanks" dxfId="26" priority="34">
      <formula>LEN(TRIM(C5))=0</formula>
    </cfRule>
  </conditionalFormatting>
  <conditionalFormatting sqref="J6:J10 J12">
    <cfRule type="containsBlanks" dxfId="25" priority="33" stopIfTrue="1">
      <formula>LEN(TRIM(J6))=0</formula>
    </cfRule>
  </conditionalFormatting>
  <conditionalFormatting sqref="E11:G11">
    <cfRule type="containsBlanks" dxfId="24" priority="32">
      <formula>LEN(TRIM(E11))=0</formula>
    </cfRule>
  </conditionalFormatting>
  <conditionalFormatting sqref="E10">
    <cfRule type="containsBlanks" dxfId="23" priority="17">
      <formula>LEN(TRIM(E10))=0</formula>
    </cfRule>
  </conditionalFormatting>
  <conditionalFormatting sqref="E10">
    <cfRule type="containsBlanks" dxfId="22" priority="15">
      <formula>LEN(TRIM(E10))=0</formula>
    </cfRule>
  </conditionalFormatting>
  <conditionalFormatting sqref="E10">
    <cfRule type="containsBlanks" dxfId="21" priority="14">
      <formula>LEN(TRIM(E10))=0</formula>
    </cfRule>
  </conditionalFormatting>
  <conditionalFormatting sqref="G10">
    <cfRule type="containsBlanks" dxfId="20" priority="13">
      <formula>LEN(TRIM(G10))=0</formula>
    </cfRule>
  </conditionalFormatting>
  <conditionalFormatting sqref="G10">
    <cfRule type="containsBlanks" dxfId="19" priority="12">
      <formula>LEN(TRIM(G10))=0</formula>
    </cfRule>
  </conditionalFormatting>
  <conditionalFormatting sqref="G10">
    <cfRule type="containsBlanks" dxfId="18" priority="11">
      <formula>LEN(TRIM(G10))=0</formula>
    </cfRule>
  </conditionalFormatting>
  <conditionalFormatting sqref="G10">
    <cfRule type="containsBlanks" dxfId="17" priority="10">
      <formula>LEN(TRIM(G10))=0</formula>
    </cfRule>
  </conditionalFormatting>
  <conditionalFormatting sqref="D12">
    <cfRule type="containsBlanks" dxfId="16" priority="8">
      <formula>LEN(TRIM(D12))=0</formula>
    </cfRule>
  </conditionalFormatting>
  <conditionalFormatting sqref="D12">
    <cfRule type="containsBlanks" dxfId="15" priority="6">
      <formula>LEN(TRIM(D12))=0</formula>
    </cfRule>
  </conditionalFormatting>
  <conditionalFormatting sqref="D12">
    <cfRule type="containsBlanks" dxfId="14" priority="5">
      <formula>LEN(TRIM(D12))=0</formula>
    </cfRule>
  </conditionalFormatting>
  <conditionalFormatting sqref="D12">
    <cfRule type="containsBlanks" dxfId="13" priority="4">
      <formula>LEN(TRIM(D12))=0</formula>
    </cfRule>
  </conditionalFormatting>
  <conditionalFormatting sqref="D12">
    <cfRule type="containsBlanks" dxfId="12" priority="9">
      <formula>LEN(TRIM(D12))=0</formula>
    </cfRule>
  </conditionalFormatting>
  <conditionalFormatting sqref="D12">
    <cfRule type="containsBlanks" dxfId="11" priority="7">
      <formula>LEN(TRIM(D12))=0</formula>
    </cfRule>
  </conditionalFormatting>
  <conditionalFormatting sqref="D6:D10">
    <cfRule type="containsBlanks" dxfId="10" priority="27">
      <formula>LEN(TRIM(D6))=0</formula>
    </cfRule>
  </conditionalFormatting>
  <conditionalFormatting sqref="E7:E9">
    <cfRule type="containsBlanks" dxfId="9" priority="26">
      <formula>LEN(TRIM(E7))=0</formula>
    </cfRule>
  </conditionalFormatting>
  <conditionalFormatting sqref="E7:E9">
    <cfRule type="containsBlanks" dxfId="8" priority="25">
      <formula>LEN(TRIM(E7))=0</formula>
    </cfRule>
  </conditionalFormatting>
  <conditionalFormatting sqref="F7:G8 G9">
    <cfRule type="containsBlanks" dxfId="7" priority="24">
      <formula>LEN(TRIM(F7))=0</formula>
    </cfRule>
  </conditionalFormatting>
  <conditionalFormatting sqref="F7:G8 G9">
    <cfRule type="containsBlanks" dxfId="6" priority="23">
      <formula>LEN(TRIM(F7))=0</formula>
    </cfRule>
  </conditionalFormatting>
  <conditionalFormatting sqref="F7:G8 G9">
    <cfRule type="containsBlanks" dxfId="5" priority="22">
      <formula>LEN(TRIM(F7))=0</formula>
    </cfRule>
  </conditionalFormatting>
  <conditionalFormatting sqref="G7:G9">
    <cfRule type="containsBlanks" dxfId="4" priority="21">
      <formula>LEN(TRIM(G7))=0</formula>
    </cfRule>
  </conditionalFormatting>
  <conditionalFormatting sqref="H9:I9">
    <cfRule type="containsBlanks" dxfId="3" priority="20">
      <formula>LEN(TRIM(H9))=0</formula>
    </cfRule>
  </conditionalFormatting>
  <conditionalFormatting sqref="H9:I9">
    <cfRule type="containsBlanks" dxfId="2" priority="19">
      <formula>LEN(TRIM(H9))=0</formula>
    </cfRule>
  </conditionalFormatting>
  <conditionalFormatting sqref="E10">
    <cfRule type="containsBlanks" dxfId="1" priority="18">
      <formula>LEN(TRIM(E10))=0</formula>
    </cfRule>
  </conditionalFormatting>
  <conditionalFormatting sqref="E13:G13">
    <cfRule type="containsBlanks" dxfId="0" priority="1" stopIfTrue="1">
      <formula>LEN(TRIM(E13))=0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HOW TO</vt:lpstr>
      <vt:lpstr>INTRO</vt:lpstr>
      <vt:lpstr>CDS</vt:lpstr>
      <vt:lpstr>TQF</vt:lpstr>
      <vt:lpstr>KPI1.1</vt:lpstr>
      <vt:lpstr>KPI</vt:lpstr>
      <vt:lpstr>info</vt:lpstr>
      <vt:lpstr>Result</vt:lpstr>
      <vt:lpstr>ป.2</vt:lpstr>
      <vt:lpstr>Sheet1</vt:lpstr>
      <vt:lpstr>INTRO!Print_Area</vt:lpstr>
      <vt:lpstr>CDS!Print_Titles</vt:lpstr>
      <vt:lpstr>INTRO!Print_Titles</vt:lpstr>
      <vt:lpstr>KPI1.1!Print_Titles</vt:lpstr>
      <vt:lpstr>Result!Print_Titles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2016-06-24T03:13:09Z</cp:lastPrinted>
  <dcterms:created xsi:type="dcterms:W3CDTF">2014-11-07T09:05:38Z</dcterms:created>
  <dcterms:modified xsi:type="dcterms:W3CDTF">2018-07-03T02:58:41Z</dcterms:modified>
</cp:coreProperties>
</file>